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D5AF008B-4D3D-42BA-954E-96A1B3938A68}" xr6:coauthVersionLast="45" xr6:coauthVersionMax="45" xr10:uidLastSave="{00000000-0000-0000-0000-000000000000}"/>
  <bookViews>
    <workbookView xWindow="-120" yWindow="-120" windowWidth="29040" windowHeight="17640" tabRatio="785" xr2:uid="{00000000-000D-0000-FFFF-FFFF00000000}"/>
  </bookViews>
  <sheets>
    <sheet name="Kap.01" sheetId="1" r:id="rId1"/>
    <sheet name="Kap.02" sheetId="2" r:id="rId2"/>
    <sheet name="Kap. 03" sheetId="3" r:id="rId3"/>
    <sheet name="Kap. 04" sheetId="20" r:id="rId4"/>
    <sheet name="Kap. 05" sheetId="26" r:id="rId5"/>
    <sheet name="Kap. 06" sheetId="19" r:id="rId6"/>
    <sheet name="Kap. 07" sheetId="27" r:id="rId7"/>
    <sheet name="Kap. 08" sheetId="28" r:id="rId8"/>
    <sheet name="Kap. 09" sheetId="29" r:id="rId9"/>
    <sheet name="Kap. 10" sheetId="30" r:id="rId10"/>
  </sheets>
  <definedNames>
    <definedName name="_xlnm.Print_Area" localSheetId="3">'Kap. 04'!$A$1:$I$243</definedName>
    <definedName name="_xlnm.Print_Area" localSheetId="4">'Kap. 05'!$A$1:$I$47</definedName>
    <definedName name="_xlnm.Print_Area" localSheetId="5">'Kap. 06'!$A$1:$I$43</definedName>
    <definedName name="_xlnm.Print_Area" localSheetId="6">'Kap. 07'!$A$1:$I$40</definedName>
    <definedName name="_xlnm.Print_Area" localSheetId="7">'Kap. 08'!$A$1:$I$46</definedName>
    <definedName name="_xlnm.Print_Area" localSheetId="8">'Kap. 09'!$A$1:$I$130</definedName>
    <definedName name="_xlnm.Print_Area" localSheetId="9">'Kap. 10'!$A$1:$I$23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20" i="20" l="1"/>
  <c r="H27" i="29" l="1"/>
  <c r="G141" i="20" l="1"/>
  <c r="F141" i="20"/>
  <c r="G35" i="20"/>
  <c r="F35" i="20"/>
  <c r="G32" i="20"/>
  <c r="F32" i="20"/>
  <c r="G20" i="20"/>
  <c r="F20" i="20"/>
  <c r="G30" i="26" l="1"/>
  <c r="F30" i="26"/>
  <c r="G33" i="26"/>
  <c r="F33" i="26"/>
  <c r="E33" i="26"/>
  <c r="F35" i="26" l="1"/>
  <c r="G35" i="26"/>
  <c r="I37" i="27"/>
  <c r="F8" i="30" l="1"/>
  <c r="I44" i="1" l="1"/>
  <c r="G42" i="1"/>
  <c r="F42" i="1"/>
  <c r="E42" i="1"/>
  <c r="E34" i="1"/>
  <c r="E45" i="1" s="1"/>
  <c r="I42" i="1" l="1"/>
  <c r="H42" i="1"/>
  <c r="G8" i="30"/>
  <c r="E8" i="30"/>
  <c r="H35" i="20" l="1"/>
  <c r="G137" i="20"/>
  <c r="G120" i="20"/>
  <c r="F92" i="20"/>
  <c r="F137" i="20"/>
  <c r="F124" i="20"/>
  <c r="F133" i="20"/>
  <c r="F129" i="20"/>
  <c r="F116" i="20"/>
  <c r="F84" i="20"/>
  <c r="F112" i="20"/>
  <c r="G92" i="20"/>
  <c r="F102" i="20"/>
  <c r="G98" i="20"/>
  <c r="F98" i="20"/>
  <c r="F88" i="20"/>
  <c r="F80" i="20"/>
  <c r="F76" i="20"/>
  <c r="G146" i="20"/>
  <c r="F146" i="20"/>
  <c r="F45" i="20"/>
  <c r="I45" i="20" s="1"/>
  <c r="H14" i="20"/>
  <c r="F64" i="20"/>
  <c r="F23" i="20"/>
  <c r="I23" i="20" s="1"/>
  <c r="F14" i="20"/>
  <c r="I14" i="20" s="1"/>
  <c r="F71" i="20"/>
  <c r="G71" i="20" s="1"/>
  <c r="F67" i="20"/>
  <c r="F60" i="20"/>
  <c r="F57" i="20"/>
  <c r="F48" i="20"/>
  <c r="I48" i="20" s="1"/>
  <c r="F42" i="20"/>
  <c r="F39" i="20"/>
  <c r="I39" i="20" s="1"/>
  <c r="F29" i="20"/>
  <c r="I29" i="20" s="1"/>
  <c r="F26" i="20"/>
  <c r="I26" i="20" s="1"/>
  <c r="F17" i="20"/>
  <c r="H45" i="20"/>
  <c r="I42" i="20"/>
  <c r="H26" i="20"/>
  <c r="I17" i="20"/>
  <c r="H23" i="20"/>
  <c r="H29" i="20"/>
  <c r="H39" i="20"/>
  <c r="H42" i="20"/>
  <c r="H48" i="20"/>
  <c r="F10" i="20"/>
  <c r="I35" i="20" l="1"/>
  <c r="H32" i="20"/>
  <c r="I32" i="20"/>
  <c r="H20" i="20"/>
  <c r="I20" i="20"/>
  <c r="H17" i="20"/>
  <c r="G59" i="29"/>
  <c r="F59" i="29"/>
  <c r="G29" i="19" l="1"/>
  <c r="F29" i="19"/>
  <c r="F24" i="1" l="1"/>
  <c r="G19" i="1"/>
  <c r="F19" i="1"/>
  <c r="E19" i="1"/>
  <c r="E9" i="29" l="1"/>
  <c r="G40" i="29"/>
  <c r="F40" i="29"/>
  <c r="E40" i="29"/>
  <c r="I41" i="29"/>
  <c r="G8" i="28"/>
  <c r="F8" i="28"/>
  <c r="E8" i="28"/>
  <c r="I9" i="28"/>
  <c r="G24" i="27"/>
  <c r="F24" i="27"/>
  <c r="E24" i="27"/>
  <c r="I25" i="27"/>
  <c r="G11" i="27"/>
  <c r="F11" i="27"/>
  <c r="E11" i="27"/>
  <c r="I12" i="27"/>
  <c r="G11" i="3"/>
  <c r="F11" i="3"/>
  <c r="G10" i="3"/>
  <c r="I40" i="29" l="1"/>
  <c r="I24" i="27"/>
  <c r="I35" i="28"/>
  <c r="I36" i="28"/>
  <c r="I38" i="28"/>
  <c r="I39" i="28"/>
  <c r="I40" i="28"/>
  <c r="I41" i="28"/>
  <c r="I42" i="28"/>
  <c r="I120" i="29"/>
  <c r="I119" i="29"/>
  <c r="I118" i="29"/>
  <c r="G27" i="28"/>
  <c r="F27" i="28"/>
  <c r="E27" i="28"/>
  <c r="I43" i="28"/>
  <c r="I34" i="26"/>
  <c r="I33" i="26" s="1"/>
  <c r="G195" i="20"/>
  <c r="F195" i="20"/>
  <c r="E195" i="20"/>
  <c r="I238" i="20"/>
  <c r="I237" i="20"/>
  <c r="I236" i="20"/>
  <c r="I228" i="20" l="1"/>
  <c r="I186" i="20"/>
  <c r="F173" i="20"/>
  <c r="G173" i="20"/>
  <c r="E173" i="20"/>
  <c r="I175" i="20"/>
  <c r="I44" i="29" l="1"/>
  <c r="I33" i="27"/>
  <c r="I12" i="28" l="1"/>
  <c r="G105" i="20" l="1"/>
  <c r="G104" i="20"/>
  <c r="G103" i="20"/>
  <c r="I12" i="20"/>
  <c r="I11" i="20"/>
  <c r="G156" i="20"/>
  <c r="G9" i="20" l="1"/>
  <c r="G75" i="20"/>
  <c r="G88" i="29"/>
  <c r="G8" i="19"/>
  <c r="G12" i="26" l="1"/>
  <c r="G8" i="26"/>
  <c r="F8" i="26"/>
  <c r="I16" i="2" l="1"/>
  <c r="G8" i="2"/>
  <c r="I22" i="1" l="1"/>
  <c r="E24" i="1"/>
  <c r="I235" i="20"/>
  <c r="I234" i="20"/>
  <c r="I185" i="20"/>
  <c r="I45" i="2"/>
  <c r="I44" i="2"/>
  <c r="I19" i="27"/>
  <c r="G9" i="29"/>
  <c r="G117" i="29"/>
  <c r="I15" i="30"/>
  <c r="I14" i="30"/>
  <c r="I12" i="30"/>
  <c r="I233" i="20" l="1"/>
  <c r="I189" i="20"/>
  <c r="G168" i="20"/>
  <c r="F168" i="20"/>
  <c r="E168" i="20"/>
  <c r="G145" i="20" l="1"/>
  <c r="G8" i="20" l="1"/>
  <c r="F120" i="20"/>
  <c r="F145" i="20"/>
  <c r="E145" i="20"/>
  <c r="F35" i="27" l="1"/>
  <c r="G35" i="27"/>
  <c r="E35" i="27"/>
  <c r="F117" i="29"/>
  <c r="E117" i="29"/>
  <c r="I127" i="29"/>
  <c r="I98" i="29"/>
  <c r="I97" i="29"/>
  <c r="H97" i="29"/>
  <c r="I35" i="27" l="1"/>
  <c r="I126" i="29"/>
  <c r="H126" i="29"/>
  <c r="I86" i="29"/>
  <c r="F43" i="29" l="1"/>
  <c r="F9" i="29"/>
  <c r="G23" i="19" l="1"/>
  <c r="E12" i="26"/>
  <c r="F12" i="26"/>
  <c r="I22" i="26"/>
  <c r="I21" i="26"/>
  <c r="H21" i="26"/>
  <c r="F8" i="3" l="1"/>
  <c r="F14" i="3" s="1"/>
  <c r="H197" i="20" l="1"/>
  <c r="I197" i="20"/>
  <c r="H198" i="20"/>
  <c r="I198" i="20"/>
  <c r="H199" i="20"/>
  <c r="H200" i="20"/>
  <c r="H201" i="20"/>
  <c r="I201" i="20"/>
  <c r="H202" i="20"/>
  <c r="I202" i="20"/>
  <c r="H203" i="20"/>
  <c r="I203" i="20"/>
  <c r="H204" i="20"/>
  <c r="I204" i="20"/>
  <c r="H205" i="20"/>
  <c r="H206" i="20"/>
  <c r="I206" i="20"/>
  <c r="H207" i="20"/>
  <c r="I207" i="20"/>
  <c r="H215" i="20"/>
  <c r="I215" i="20"/>
  <c r="H216" i="20"/>
  <c r="I216" i="20"/>
  <c r="H217" i="20"/>
  <c r="I217" i="20"/>
  <c r="H218" i="20"/>
  <c r="I218" i="20"/>
  <c r="H219" i="20"/>
  <c r="I219" i="20"/>
  <c r="H221" i="20"/>
  <c r="I221" i="20"/>
  <c r="H222" i="20"/>
  <c r="H223" i="20"/>
  <c r="I224" i="20"/>
  <c r="I226" i="20"/>
  <c r="I227" i="20"/>
  <c r="I229" i="20"/>
  <c r="I230" i="20"/>
  <c r="I231" i="20"/>
  <c r="H232" i="20"/>
  <c r="I232" i="20"/>
  <c r="I179" i="20"/>
  <c r="I178" i="20"/>
  <c r="F177" i="20"/>
  <c r="G177" i="20"/>
  <c r="E177" i="20"/>
  <c r="G181" i="20"/>
  <c r="E181" i="20"/>
  <c r="I193" i="20"/>
  <c r="I192" i="20"/>
  <c r="I191" i="20"/>
  <c r="I190" i="20"/>
  <c r="I188" i="20"/>
  <c r="F187" i="20"/>
  <c r="I187" i="20" s="1"/>
  <c r="I225" i="20" l="1"/>
  <c r="I177" i="20"/>
  <c r="F181" i="20"/>
  <c r="F165" i="20" l="1"/>
  <c r="G165" i="20"/>
  <c r="E165" i="20"/>
  <c r="E75" i="29"/>
  <c r="E59" i="29" s="1"/>
  <c r="I38" i="29"/>
  <c r="F75" i="20" l="1"/>
  <c r="I165" i="20"/>
  <c r="I23" i="29"/>
  <c r="I27" i="29"/>
  <c r="I31" i="29"/>
  <c r="F23" i="19" l="1"/>
  <c r="I23" i="19" s="1"/>
  <c r="I24" i="19"/>
  <c r="I43" i="2"/>
  <c r="F24" i="2"/>
  <c r="E8" i="2"/>
  <c r="F8" i="2"/>
  <c r="F44" i="28" l="1"/>
  <c r="G8" i="3" l="1"/>
  <c r="E8" i="3"/>
  <c r="I13" i="3"/>
  <c r="H44" i="1"/>
  <c r="G111" i="20"/>
  <c r="F111" i="20"/>
  <c r="G56" i="20"/>
  <c r="F56" i="20"/>
  <c r="G6" i="20"/>
  <c r="F6" i="20"/>
  <c r="G6" i="30"/>
  <c r="F6" i="30"/>
  <c r="G115" i="29"/>
  <c r="F115" i="29"/>
  <c r="G104" i="29"/>
  <c r="F104" i="29"/>
  <c r="G54" i="29"/>
  <c r="F54" i="29"/>
  <c r="G6" i="29"/>
  <c r="F6" i="29"/>
  <c r="G25" i="28"/>
  <c r="F25" i="28"/>
  <c r="G6" i="28"/>
  <c r="F6" i="28"/>
  <c r="G30" i="27"/>
  <c r="F30" i="27"/>
  <c r="G6" i="27"/>
  <c r="F6" i="27"/>
  <c r="G36" i="19"/>
  <c r="F36" i="19"/>
  <c r="G6" i="19"/>
  <c r="F6" i="19"/>
  <c r="G28" i="26"/>
  <c r="F28" i="26"/>
  <c r="G6" i="26"/>
  <c r="F6" i="26"/>
  <c r="G22" i="2"/>
  <c r="F22" i="2"/>
  <c r="G6" i="2"/>
  <c r="F6" i="2"/>
  <c r="G32" i="1"/>
  <c r="F32" i="1"/>
  <c r="G19" i="3"/>
  <c r="F19" i="3"/>
  <c r="G6" i="3"/>
  <c r="F6" i="3"/>
  <c r="I31" i="26"/>
  <c r="I21" i="27" l="1"/>
  <c r="E24" i="2" l="1"/>
  <c r="G24" i="2"/>
  <c r="I46" i="2" l="1"/>
  <c r="I42" i="2"/>
  <c r="G43" i="29" l="1"/>
  <c r="E43" i="29"/>
  <c r="I38" i="20" l="1"/>
  <c r="G18" i="30" l="1"/>
  <c r="I20" i="30"/>
  <c r="H20" i="30"/>
  <c r="I10" i="30"/>
  <c r="H10" i="30"/>
  <c r="H48" i="29"/>
  <c r="I19" i="29"/>
  <c r="H19" i="29"/>
  <c r="I25" i="29"/>
  <c r="H25" i="29"/>
  <c r="I24" i="29"/>
  <c r="H24" i="29"/>
  <c r="I22" i="29"/>
  <c r="H22" i="29"/>
  <c r="I21" i="29"/>
  <c r="H21" i="29"/>
  <c r="I18" i="29"/>
  <c r="H18" i="29"/>
  <c r="I17" i="29"/>
  <c r="H17" i="29"/>
  <c r="I16" i="29"/>
  <c r="H16" i="29"/>
  <c r="I15" i="29"/>
  <c r="H15" i="29"/>
  <c r="I14" i="29"/>
  <c r="H14" i="29"/>
  <c r="I13" i="29"/>
  <c r="H13" i="29"/>
  <c r="I12" i="29"/>
  <c r="H12" i="29"/>
  <c r="I11" i="29"/>
  <c r="H11" i="29"/>
  <c r="I30" i="19"/>
  <c r="H30" i="19"/>
  <c r="I29" i="19"/>
  <c r="H29" i="19"/>
  <c r="I27" i="19"/>
  <c r="H27" i="19"/>
  <c r="I21" i="19"/>
  <c r="H21" i="19"/>
  <c r="I20" i="19"/>
  <c r="H20" i="19"/>
  <c r="I19" i="19"/>
  <c r="H19" i="19"/>
  <c r="I18" i="19"/>
  <c r="H18" i="19"/>
  <c r="I17" i="19"/>
  <c r="H17" i="19"/>
  <c r="I16" i="19"/>
  <c r="H16" i="19"/>
  <c r="I15" i="19"/>
  <c r="H15" i="19"/>
  <c r="I14" i="19"/>
  <c r="H14" i="19"/>
  <c r="I13" i="19"/>
  <c r="H13" i="19"/>
  <c r="I12" i="19"/>
  <c r="H12" i="19"/>
  <c r="I11" i="19"/>
  <c r="H11" i="19"/>
  <c r="I10" i="19"/>
  <c r="H10" i="19"/>
  <c r="G21" i="30" l="1"/>
  <c r="I166" i="20"/>
  <c r="H10" i="3" l="1"/>
  <c r="I10" i="3"/>
  <c r="H11" i="3"/>
  <c r="I11" i="3"/>
  <c r="H12" i="3"/>
  <c r="I12" i="3"/>
  <c r="G23" i="30" l="1"/>
  <c r="I8" i="30" l="1"/>
  <c r="H8" i="30"/>
  <c r="G44" i="28" l="1"/>
  <c r="F32" i="27"/>
  <c r="F38" i="27" s="1"/>
  <c r="E32" i="27"/>
  <c r="E38" i="27" s="1"/>
  <c r="E40" i="19"/>
  <c r="F38" i="19"/>
  <c r="F40" i="19" s="1"/>
  <c r="E38" i="19"/>
  <c r="H196" i="20"/>
  <c r="G241" i="20"/>
  <c r="G23" i="3"/>
  <c r="F23" i="3"/>
  <c r="E23" i="3"/>
  <c r="F21" i="3"/>
  <c r="G21" i="3"/>
  <c r="E21" i="3"/>
  <c r="F47" i="2"/>
  <c r="E47" i="2"/>
  <c r="E49" i="2" s="1"/>
  <c r="H35" i="1"/>
  <c r="I35" i="1"/>
  <c r="H36" i="1"/>
  <c r="I36" i="1"/>
  <c r="H37" i="1"/>
  <c r="I37" i="1"/>
  <c r="H38" i="1"/>
  <c r="I38" i="1"/>
  <c r="H39" i="1"/>
  <c r="I39" i="1"/>
  <c r="H40" i="1"/>
  <c r="I40" i="1"/>
  <c r="F34" i="1"/>
  <c r="F45" i="1" s="1"/>
  <c r="G34" i="1"/>
  <c r="G45" i="1" s="1"/>
  <c r="H125" i="29"/>
  <c r="I125" i="29"/>
  <c r="I124" i="29"/>
  <c r="H124" i="29"/>
  <c r="I123" i="29"/>
  <c r="H123" i="29"/>
  <c r="H30" i="28"/>
  <c r="I30" i="28"/>
  <c r="H31" i="28"/>
  <c r="I31" i="28"/>
  <c r="H32" i="28"/>
  <c r="I32" i="28"/>
  <c r="H33" i="28"/>
  <c r="I33" i="28"/>
  <c r="H34" i="28"/>
  <c r="I34" i="28"/>
  <c r="H35" i="28"/>
  <c r="H36" i="28"/>
  <c r="H37" i="28"/>
  <c r="I28" i="28"/>
  <c r="I29" i="28"/>
  <c r="H29" i="28"/>
  <c r="H28" i="28"/>
  <c r="H184" i="20"/>
  <c r="E29" i="3" l="1"/>
  <c r="F29" i="3"/>
  <c r="F241" i="20"/>
  <c r="E241" i="20"/>
  <c r="I34" i="1"/>
  <c r="H34" i="1"/>
  <c r="F49" i="2"/>
  <c r="I44" i="28"/>
  <c r="G29" i="3"/>
  <c r="I27" i="28"/>
  <c r="H195" i="20"/>
  <c r="I195" i="20"/>
  <c r="I184" i="20"/>
  <c r="G32" i="27"/>
  <c r="H182" i="20"/>
  <c r="G38" i="27" l="1"/>
  <c r="I38" i="27" s="1"/>
  <c r="I32" i="27"/>
  <c r="I45" i="1"/>
  <c r="H45" i="1"/>
  <c r="I241" i="20"/>
  <c r="H241" i="20"/>
  <c r="H181" i="20"/>
  <c r="I182" i="20"/>
  <c r="I183" i="20"/>
  <c r="H183" i="20"/>
  <c r="H22" i="3"/>
  <c r="I22" i="3"/>
  <c r="I181" i="20" l="1"/>
  <c r="H21" i="3"/>
  <c r="I21" i="3"/>
  <c r="I41" i="2" l="1"/>
  <c r="H41" i="2"/>
  <c r="F18" i="30"/>
  <c r="I18" i="30" s="1"/>
  <c r="E18" i="30"/>
  <c r="I108" i="29"/>
  <c r="H108" i="29"/>
  <c r="I107" i="29"/>
  <c r="H107" i="29"/>
  <c r="I106" i="29"/>
  <c r="H106" i="29"/>
  <c r="G105" i="29"/>
  <c r="F105" i="29"/>
  <c r="E105" i="29"/>
  <c r="I96" i="29"/>
  <c r="H96" i="29"/>
  <c r="I95" i="29"/>
  <c r="H95" i="29"/>
  <c r="I94" i="29"/>
  <c r="H94" i="29"/>
  <c r="I93" i="29"/>
  <c r="H93" i="29"/>
  <c r="I92" i="29"/>
  <c r="H92" i="29"/>
  <c r="I91" i="29"/>
  <c r="H91" i="29"/>
  <c r="I90" i="29"/>
  <c r="H90" i="29"/>
  <c r="I89" i="29"/>
  <c r="H89" i="29"/>
  <c r="F88" i="29"/>
  <c r="E88" i="29"/>
  <c r="I85" i="29"/>
  <c r="H85" i="29"/>
  <c r="I84" i="29"/>
  <c r="H84" i="29"/>
  <c r="I83" i="29"/>
  <c r="H83" i="29"/>
  <c r="I82" i="29"/>
  <c r="H82" i="29"/>
  <c r="I81" i="29"/>
  <c r="H81" i="29"/>
  <c r="I80" i="29"/>
  <c r="H80" i="29"/>
  <c r="I79" i="29"/>
  <c r="H79" i="29"/>
  <c r="I78" i="29"/>
  <c r="H78" i="29"/>
  <c r="I77" i="29"/>
  <c r="H77" i="29"/>
  <c r="I76" i="29"/>
  <c r="H76" i="29"/>
  <c r="I75" i="29"/>
  <c r="H75" i="29"/>
  <c r="I74" i="29"/>
  <c r="H74" i="29"/>
  <c r="I73" i="29"/>
  <c r="H73" i="29"/>
  <c r="I72" i="29"/>
  <c r="H72" i="29"/>
  <c r="I71" i="29"/>
  <c r="H71" i="29"/>
  <c r="I70" i="29"/>
  <c r="H70" i="29"/>
  <c r="I69" i="29"/>
  <c r="H69" i="29"/>
  <c r="I68" i="29"/>
  <c r="H68" i="29"/>
  <c r="I67" i="29"/>
  <c r="H67" i="29"/>
  <c r="I66" i="29"/>
  <c r="H66" i="29"/>
  <c r="I65" i="29"/>
  <c r="H65" i="29"/>
  <c r="I64" i="29"/>
  <c r="H64" i="29"/>
  <c r="I63" i="29"/>
  <c r="H63" i="29"/>
  <c r="I62" i="29"/>
  <c r="H62" i="29"/>
  <c r="I61" i="29"/>
  <c r="H61" i="29"/>
  <c r="I60" i="29"/>
  <c r="H60" i="29"/>
  <c r="I58" i="29"/>
  <c r="H58" i="29"/>
  <c r="I57" i="29"/>
  <c r="H57" i="29"/>
  <c r="G56" i="29"/>
  <c r="F56" i="29"/>
  <c r="F55" i="29" s="1"/>
  <c r="E56" i="29"/>
  <c r="I48" i="29"/>
  <c r="I47" i="29"/>
  <c r="H47" i="29"/>
  <c r="G46" i="29"/>
  <c r="F46" i="29"/>
  <c r="E46" i="29"/>
  <c r="I36" i="29"/>
  <c r="H36" i="29"/>
  <c r="I35" i="29"/>
  <c r="H35" i="29"/>
  <c r="I34" i="29"/>
  <c r="H34" i="29"/>
  <c r="I33" i="29"/>
  <c r="H33" i="29"/>
  <c r="I32" i="29"/>
  <c r="H32" i="29"/>
  <c r="I30" i="29"/>
  <c r="H30" i="29"/>
  <c r="G29" i="29"/>
  <c r="G8" i="29" s="1"/>
  <c r="F29" i="29"/>
  <c r="F8" i="29" s="1"/>
  <c r="E29" i="29"/>
  <c r="E8" i="29" s="1"/>
  <c r="I10" i="29"/>
  <c r="H10" i="29"/>
  <c r="I19" i="28"/>
  <c r="H19" i="28"/>
  <c r="G18" i="28"/>
  <c r="G20" i="28" s="1"/>
  <c r="F18" i="28"/>
  <c r="F20" i="28" s="1"/>
  <c r="E18" i="28"/>
  <c r="I16" i="28"/>
  <c r="H16" i="28"/>
  <c r="I15" i="28"/>
  <c r="H15" i="28"/>
  <c r="I14" i="28"/>
  <c r="H14" i="28"/>
  <c r="I13" i="28"/>
  <c r="H13" i="28"/>
  <c r="H12" i="28"/>
  <c r="I11" i="28"/>
  <c r="H11" i="28"/>
  <c r="I10" i="28"/>
  <c r="H10" i="28"/>
  <c r="I22" i="27"/>
  <c r="H22" i="27"/>
  <c r="I20" i="27"/>
  <c r="H20" i="27"/>
  <c r="I18" i="27"/>
  <c r="H18" i="27"/>
  <c r="G17" i="27"/>
  <c r="G8" i="27" s="1"/>
  <c r="F17" i="27"/>
  <c r="F8" i="27" s="1"/>
  <c r="E17" i="27"/>
  <c r="I15" i="27"/>
  <c r="H15" i="27"/>
  <c r="I14" i="27"/>
  <c r="H14" i="27"/>
  <c r="I13" i="27"/>
  <c r="H13" i="27"/>
  <c r="I9" i="27"/>
  <c r="H9" i="27"/>
  <c r="H18" i="30" l="1"/>
  <c r="E20" i="28"/>
  <c r="H18" i="28"/>
  <c r="G55" i="29"/>
  <c r="F109" i="29"/>
  <c r="H11" i="27"/>
  <c r="E21" i="30"/>
  <c r="F21" i="30"/>
  <c r="F23" i="30" s="1"/>
  <c r="F46" i="28"/>
  <c r="F26" i="27"/>
  <c r="I8" i="28"/>
  <c r="H8" i="28"/>
  <c r="H29" i="29"/>
  <c r="H9" i="29"/>
  <c r="H59" i="29"/>
  <c r="H105" i="29"/>
  <c r="I46" i="29"/>
  <c r="I88" i="29"/>
  <c r="H46" i="29"/>
  <c r="I105" i="29"/>
  <c r="I9" i="29"/>
  <c r="I56" i="29"/>
  <c r="I59" i="29"/>
  <c r="H88" i="29"/>
  <c r="I29" i="29"/>
  <c r="I43" i="29"/>
  <c r="E55" i="29"/>
  <c r="E109" i="29" s="1"/>
  <c r="I11" i="27"/>
  <c r="H17" i="27"/>
  <c r="H40" i="2"/>
  <c r="I40" i="2"/>
  <c r="H56" i="29"/>
  <c r="I18" i="28"/>
  <c r="G46" i="28"/>
  <c r="I17" i="27"/>
  <c r="F26" i="19"/>
  <c r="G26" i="19"/>
  <c r="G31" i="19" s="1"/>
  <c r="I9" i="19"/>
  <c r="H9" i="19"/>
  <c r="F8" i="19"/>
  <c r="I13" i="26"/>
  <c r="I14" i="26"/>
  <c r="I15" i="26"/>
  <c r="I16" i="26"/>
  <c r="I17" i="26"/>
  <c r="I19" i="26"/>
  <c r="I20" i="26"/>
  <c r="H13" i="26"/>
  <c r="H14" i="26"/>
  <c r="H15" i="26"/>
  <c r="H16" i="26"/>
  <c r="H17" i="26"/>
  <c r="H19" i="26"/>
  <c r="H20" i="26"/>
  <c r="H9" i="26"/>
  <c r="I9" i="26"/>
  <c r="I10" i="26"/>
  <c r="E8" i="26"/>
  <c r="E23" i="26" s="1"/>
  <c r="I156" i="20"/>
  <c r="I157" i="20"/>
  <c r="H156" i="20"/>
  <c r="H157" i="20"/>
  <c r="F155" i="20"/>
  <c r="G155" i="20"/>
  <c r="G170" i="20" s="1"/>
  <c r="E155" i="20"/>
  <c r="I152" i="20"/>
  <c r="H152" i="20"/>
  <c r="I149" i="20"/>
  <c r="H149" i="20"/>
  <c r="H113" i="20"/>
  <c r="I113" i="20"/>
  <c r="H114" i="20"/>
  <c r="I114" i="20"/>
  <c r="H115" i="20"/>
  <c r="I115" i="20"/>
  <c r="H116" i="20"/>
  <c r="I116" i="20"/>
  <c r="H117" i="20"/>
  <c r="I117" i="20"/>
  <c r="H118" i="20"/>
  <c r="I118" i="20"/>
  <c r="H119" i="20"/>
  <c r="I119" i="20"/>
  <c r="H120" i="20"/>
  <c r="I120" i="20"/>
  <c r="H121" i="20"/>
  <c r="I121" i="20"/>
  <c r="H122" i="20"/>
  <c r="I122" i="20"/>
  <c r="H123" i="20"/>
  <c r="I123" i="20"/>
  <c r="H124" i="20"/>
  <c r="I124" i="20"/>
  <c r="H125" i="20"/>
  <c r="I125" i="20"/>
  <c r="H126" i="20"/>
  <c r="I126" i="20"/>
  <c r="H127" i="20"/>
  <c r="I127" i="20"/>
  <c r="H128" i="20"/>
  <c r="I128" i="20"/>
  <c r="H129" i="20"/>
  <c r="I129" i="20"/>
  <c r="H130" i="20"/>
  <c r="I130" i="20"/>
  <c r="H131" i="20"/>
  <c r="I131" i="20"/>
  <c r="H132" i="20"/>
  <c r="I132" i="20"/>
  <c r="H133" i="20"/>
  <c r="I133" i="20"/>
  <c r="H134" i="20"/>
  <c r="I134" i="20"/>
  <c r="H135" i="20"/>
  <c r="I135" i="20"/>
  <c r="H136" i="20"/>
  <c r="I136" i="20"/>
  <c r="H137" i="20"/>
  <c r="I137" i="20"/>
  <c r="H138" i="20"/>
  <c r="I138" i="20"/>
  <c r="H139" i="20"/>
  <c r="I139" i="20"/>
  <c r="H140" i="20"/>
  <c r="I140" i="20"/>
  <c r="H141" i="20"/>
  <c r="I141" i="20"/>
  <c r="H142" i="20"/>
  <c r="I142" i="20"/>
  <c r="H143" i="20"/>
  <c r="I143" i="20"/>
  <c r="H144" i="20"/>
  <c r="I144" i="20"/>
  <c r="I112" i="20"/>
  <c r="H112" i="20"/>
  <c r="I58" i="20"/>
  <c r="I59" i="20"/>
  <c r="I60" i="20"/>
  <c r="I61" i="20"/>
  <c r="I62" i="20"/>
  <c r="I63" i="20"/>
  <c r="I64" i="20"/>
  <c r="I65" i="20"/>
  <c r="I66" i="20"/>
  <c r="I67" i="20"/>
  <c r="I68" i="20"/>
  <c r="I69" i="20"/>
  <c r="I70" i="20"/>
  <c r="I71" i="20"/>
  <c r="I72" i="20"/>
  <c r="I73" i="20"/>
  <c r="I76" i="20"/>
  <c r="I77" i="20"/>
  <c r="I78" i="20"/>
  <c r="I79" i="20"/>
  <c r="I80" i="20"/>
  <c r="I81" i="20"/>
  <c r="I82" i="20"/>
  <c r="I83" i="20"/>
  <c r="I84" i="20"/>
  <c r="I85" i="20"/>
  <c r="I86" i="20"/>
  <c r="I87" i="20"/>
  <c r="I88" i="20"/>
  <c r="I89" i="20"/>
  <c r="I90" i="20"/>
  <c r="I91" i="20"/>
  <c r="I93" i="20"/>
  <c r="I94" i="20"/>
  <c r="I95" i="20"/>
  <c r="I96" i="20"/>
  <c r="I97" i="20"/>
  <c r="I98" i="20"/>
  <c r="I99" i="20"/>
  <c r="I100" i="20"/>
  <c r="I101" i="20"/>
  <c r="I102" i="20"/>
  <c r="I103" i="20"/>
  <c r="I104" i="20"/>
  <c r="I105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105" i="20"/>
  <c r="I57" i="20"/>
  <c r="H57" i="20"/>
  <c r="H10" i="20"/>
  <c r="I10" i="20"/>
  <c r="H11" i="20"/>
  <c r="H12" i="20"/>
  <c r="H13" i="20"/>
  <c r="I13" i="20"/>
  <c r="H15" i="20"/>
  <c r="I15" i="20"/>
  <c r="H16" i="20"/>
  <c r="I16" i="20"/>
  <c r="H18" i="20"/>
  <c r="I18" i="20"/>
  <c r="H19" i="20"/>
  <c r="I19" i="20"/>
  <c r="H21" i="20"/>
  <c r="I21" i="20"/>
  <c r="H22" i="20"/>
  <c r="I22" i="20"/>
  <c r="H24" i="20"/>
  <c r="I24" i="20"/>
  <c r="H25" i="20"/>
  <c r="I25" i="20"/>
  <c r="H27" i="20"/>
  <c r="I27" i="20"/>
  <c r="H28" i="20"/>
  <c r="I28" i="20"/>
  <c r="H30" i="20"/>
  <c r="I30" i="20"/>
  <c r="H31" i="20"/>
  <c r="I31" i="20"/>
  <c r="H33" i="20"/>
  <c r="I33" i="20"/>
  <c r="H34" i="20"/>
  <c r="I34" i="20"/>
  <c r="H36" i="20"/>
  <c r="I36" i="20"/>
  <c r="H37" i="20"/>
  <c r="I37" i="20"/>
  <c r="H40" i="20"/>
  <c r="I40" i="20"/>
  <c r="H41" i="20"/>
  <c r="I41" i="20"/>
  <c r="H43" i="20"/>
  <c r="I43" i="20"/>
  <c r="H44" i="20"/>
  <c r="I44" i="20"/>
  <c r="H46" i="20"/>
  <c r="I46" i="20"/>
  <c r="H47" i="20"/>
  <c r="I47" i="20"/>
  <c r="H49" i="20"/>
  <c r="I49" i="20"/>
  <c r="H50" i="20"/>
  <c r="I50" i="20"/>
  <c r="F9" i="20"/>
  <c r="I146" i="20"/>
  <c r="I147" i="20"/>
  <c r="I148" i="20"/>
  <c r="H146" i="20"/>
  <c r="H147" i="20"/>
  <c r="H148" i="20"/>
  <c r="I9" i="3"/>
  <c r="H9" i="3"/>
  <c r="H8" i="3"/>
  <c r="H9" i="2"/>
  <c r="I9" i="2"/>
  <c r="H10" i="2"/>
  <c r="I10" i="2"/>
  <c r="H11" i="2"/>
  <c r="I11" i="2"/>
  <c r="H12" i="2"/>
  <c r="I12" i="2"/>
  <c r="H13" i="2"/>
  <c r="I13" i="2"/>
  <c r="H14" i="2"/>
  <c r="I14" i="2"/>
  <c r="H15" i="2"/>
  <c r="I15" i="2"/>
  <c r="F17" i="2"/>
  <c r="F51" i="2" s="1"/>
  <c r="H17" i="1"/>
  <c r="I17" i="1"/>
  <c r="H20" i="1"/>
  <c r="I20" i="1"/>
  <c r="H21" i="1"/>
  <c r="I21" i="1"/>
  <c r="H26" i="1"/>
  <c r="I26" i="1"/>
  <c r="G24" i="1"/>
  <c r="F16" i="1"/>
  <c r="F27" i="1" s="1"/>
  <c r="F47" i="1" s="1"/>
  <c r="G16" i="1"/>
  <c r="I23" i="30" l="1"/>
  <c r="F8" i="20"/>
  <c r="F170" i="20" s="1"/>
  <c r="I170" i="20" s="1"/>
  <c r="F40" i="27"/>
  <c r="G109" i="29"/>
  <c r="I21" i="30"/>
  <c r="F31" i="19"/>
  <c r="F42" i="19" s="1"/>
  <c r="I8" i="27"/>
  <c r="E23" i="30"/>
  <c r="H23" i="30" s="1"/>
  <c r="H21" i="30"/>
  <c r="H55" i="29"/>
  <c r="I26" i="19"/>
  <c r="I8" i="3"/>
  <c r="G14" i="3"/>
  <c r="F31" i="3"/>
  <c r="I19" i="1"/>
  <c r="I24" i="1"/>
  <c r="H12" i="26"/>
  <c r="G26" i="27"/>
  <c r="G23" i="26"/>
  <c r="H8" i="26"/>
  <c r="F23" i="26"/>
  <c r="I16" i="1"/>
  <c r="G27" i="1"/>
  <c r="I46" i="28"/>
  <c r="I55" i="29"/>
  <c r="I155" i="20"/>
  <c r="G17" i="2"/>
  <c r="I8" i="2"/>
  <c r="H174" i="20"/>
  <c r="I174" i="20"/>
  <c r="H155" i="20"/>
  <c r="H39" i="2"/>
  <c r="I39" i="2"/>
  <c r="I8" i="29"/>
  <c r="H8" i="29"/>
  <c r="I20" i="28"/>
  <c r="H20" i="28"/>
  <c r="I8" i="19"/>
  <c r="I8" i="26"/>
  <c r="I12" i="26"/>
  <c r="I92" i="20"/>
  <c r="I75" i="20"/>
  <c r="I9" i="20"/>
  <c r="G40" i="27" l="1"/>
  <c r="I40" i="27" s="1"/>
  <c r="I26" i="27"/>
  <c r="I31" i="19"/>
  <c r="G31" i="3"/>
  <c r="I31" i="3" s="1"/>
  <c r="I14" i="3"/>
  <c r="I23" i="26"/>
  <c r="G47" i="1"/>
  <c r="I27" i="1"/>
  <c r="I17" i="2"/>
  <c r="H173" i="20"/>
  <c r="I173" i="20"/>
  <c r="I38" i="2"/>
  <c r="H38" i="2"/>
  <c r="I109" i="29"/>
  <c r="H109" i="29"/>
  <c r="G243" i="20" l="1"/>
  <c r="H145" i="20"/>
  <c r="I145" i="20"/>
  <c r="I47" i="1"/>
  <c r="I37" i="2"/>
  <c r="H37" i="2"/>
  <c r="E8" i="19"/>
  <c r="H8" i="19" l="1"/>
  <c r="I8" i="20"/>
  <c r="H36" i="2"/>
  <c r="I36" i="2"/>
  <c r="E26" i="19"/>
  <c r="H26" i="19" s="1"/>
  <c r="E75" i="20"/>
  <c r="E9" i="20"/>
  <c r="E8" i="20" s="1"/>
  <c r="E170" i="20" s="1"/>
  <c r="H170" i="20" s="1"/>
  <c r="E14" i="3"/>
  <c r="H24" i="1"/>
  <c r="H19" i="1"/>
  <c r="E16" i="1"/>
  <c r="H16" i="1" s="1"/>
  <c r="E31" i="19" l="1"/>
  <c r="E42" i="19" s="1"/>
  <c r="F243" i="20"/>
  <c r="I243" i="20" s="1"/>
  <c r="H75" i="20"/>
  <c r="E31" i="3"/>
  <c r="H31" i="3" s="1"/>
  <c r="H14" i="3"/>
  <c r="H23" i="26"/>
  <c r="E17" i="2"/>
  <c r="H8" i="2"/>
  <c r="H35" i="2"/>
  <c r="I35" i="2"/>
  <c r="H9" i="20"/>
  <c r="E27" i="1"/>
  <c r="H31" i="19" l="1"/>
  <c r="H8" i="20"/>
  <c r="H17" i="2"/>
  <c r="E51" i="2"/>
  <c r="E47" i="1"/>
  <c r="H47" i="1" s="1"/>
  <c r="H27" i="1"/>
  <c r="I34" i="2"/>
  <c r="H34" i="2"/>
  <c r="E243" i="20" l="1"/>
  <c r="H243" i="20" s="1"/>
  <c r="I33" i="2"/>
  <c r="H33" i="2"/>
  <c r="I32" i="2" l="1"/>
  <c r="H32" i="2"/>
  <c r="H31" i="2" l="1"/>
  <c r="I31" i="2"/>
  <c r="H30" i="2" l="1"/>
  <c r="I30" i="2"/>
  <c r="H29" i="2" l="1"/>
  <c r="I29" i="2"/>
  <c r="H28" i="2" l="1"/>
  <c r="I28" i="2"/>
  <c r="H27" i="2" l="1"/>
  <c r="I27" i="2"/>
  <c r="H26" i="2" l="1"/>
  <c r="I26" i="2"/>
  <c r="I25" i="2" l="1"/>
  <c r="H25" i="2"/>
  <c r="H24" i="2" l="1"/>
  <c r="I24" i="2"/>
  <c r="I48" i="2"/>
  <c r="G47" i="2"/>
  <c r="H47" i="2" l="1"/>
  <c r="G49" i="2"/>
  <c r="G51" i="2" s="1"/>
  <c r="I47" i="2"/>
  <c r="H48" i="2"/>
  <c r="H51" i="2" l="1"/>
  <c r="I51" i="2"/>
  <c r="I49" i="2"/>
  <c r="H49" i="2"/>
  <c r="I29" i="3"/>
  <c r="H29" i="3"/>
  <c r="H28" i="3"/>
  <c r="I27" i="3"/>
  <c r="H25" i="3" l="1"/>
  <c r="I25" i="3"/>
  <c r="H26" i="3"/>
  <c r="I26" i="3"/>
  <c r="I28" i="3"/>
  <c r="H27" i="3"/>
  <c r="I24" i="3" l="1"/>
  <c r="H24" i="3"/>
  <c r="H23" i="3" l="1"/>
  <c r="I23" i="3"/>
  <c r="H39" i="19"/>
  <c r="I39" i="19"/>
  <c r="G38" i="19"/>
  <c r="I38" i="19" l="1"/>
  <c r="G40" i="19"/>
  <c r="G42" i="19" s="1"/>
  <c r="H38" i="19"/>
  <c r="H42" i="19" l="1"/>
  <c r="I42" i="19"/>
  <c r="I40" i="19"/>
  <c r="H40" i="19"/>
  <c r="E122" i="29"/>
  <c r="G122" i="29"/>
  <c r="F122" i="29"/>
  <c r="H122" i="29" l="1"/>
  <c r="G128" i="29"/>
  <c r="F128" i="29"/>
  <c r="E128" i="29"/>
  <c r="E130" i="29" s="1"/>
  <c r="I117" i="29"/>
  <c r="I122" i="29"/>
  <c r="I128" i="29" l="1"/>
  <c r="F130" i="29"/>
  <c r="H128" i="29"/>
  <c r="G130" i="29"/>
  <c r="H130" i="29" l="1"/>
  <c r="I130" i="29"/>
  <c r="H27" i="28"/>
  <c r="E44" i="28"/>
  <c r="H44" i="28" s="1"/>
  <c r="E46" i="28" l="1"/>
  <c r="H46" i="28" s="1"/>
  <c r="E8" i="27"/>
  <c r="H8" i="27" s="1"/>
  <c r="E26" i="27" l="1"/>
  <c r="E40" i="27" l="1"/>
  <c r="H40" i="27" s="1"/>
  <c r="H26" i="27"/>
  <c r="F37" i="26"/>
  <c r="G37" i="26"/>
  <c r="I30" i="26" l="1"/>
  <c r="I37" i="26"/>
  <c r="I35" i="26"/>
  <c r="E30" i="26"/>
  <c r="E35" i="26" s="1"/>
  <c r="E37" i="26" s="1"/>
  <c r="H37" i="26" s="1"/>
</calcChain>
</file>

<file path=xl/sharedStrings.xml><?xml version="1.0" encoding="utf-8"?>
<sst xmlns="http://schemas.openxmlformats.org/spreadsheetml/2006/main" count="1510" uniqueCount="561">
  <si>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</si>
  <si>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</si>
  <si>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</si>
  <si>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</si>
  <si>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</si>
  <si>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</si>
  <si>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</si>
  <si>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</si>
  <si>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</si>
  <si>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</si>
  <si>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</si>
  <si>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</si>
  <si>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</si>
  <si>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</si>
  <si>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</si>
  <si>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</si>
  <si>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</si>
  <si>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</si>
  <si>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</si>
  <si>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</si>
  <si>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</si>
  <si>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</si>
  <si>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</si>
  <si>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</si>
  <si>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</si>
  <si>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</si>
  <si>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</si>
  <si>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Kapitola 03 – doprava</t>
  </si>
  <si>
    <t>0319</t>
  </si>
  <si>
    <t xml:space="preserve">odbor dopravy ÚMČ </t>
  </si>
  <si>
    <t>čištění komunikací nad rámec TSK</t>
  </si>
  <si>
    <t>2212 - silnice</t>
  </si>
  <si>
    <t>2219 - ost. záležitosti pozemních komunikací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</si>
  <si>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</si>
  <si>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</si>
  <si>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</si>
  <si>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</si>
  <si>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</si>
  <si>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</si>
  <si>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</si>
  <si>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</si>
  <si>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</si>
  <si>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</si>
  <si>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</si>
  <si>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</si>
  <si>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</si>
  <si>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</si>
  <si>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</si>
  <si>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</si>
  <si>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</si>
  <si>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</si>
  <si>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</si>
  <si>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</si>
  <si>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</si>
  <si>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</si>
  <si>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</si>
  <si>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</si>
  <si>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</si>
  <si>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</si>
  <si>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</si>
  <si>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</si>
  <si>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</si>
  <si>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</si>
  <si>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</si>
  <si>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</si>
  <si>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</si>
  <si>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</si>
  <si>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</si>
  <si>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</si>
  <si>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</si>
  <si>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</si>
  <si>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</si>
  <si>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</si>
  <si>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</si>
  <si>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</si>
  <si>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</si>
  <si>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</si>
  <si>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</si>
  <si>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</si>
  <si>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</si>
  <si>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</si>
  <si>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</si>
  <si>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</si>
  <si>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</si>
  <si>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</si>
  <si>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</si>
  <si>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</si>
  <si>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</si>
  <si>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</si>
  <si>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</si>
  <si>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</si>
  <si>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</si>
  <si>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</si>
  <si>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</si>
  <si>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</si>
  <si>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</si>
  <si>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</si>
  <si>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</si>
  <si>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</si>
  <si>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</si>
  <si>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</si>
  <si>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</si>
  <si>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</si>
  <si>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</si>
  <si>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</si>
  <si>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</si>
  <si>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</si>
  <si>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</si>
  <si>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pol. 5163 - služby peněžních ústavů</t>
  </si>
  <si>
    <t>301</t>
  </si>
  <si>
    <t>Kapitola 05 – zdravotnictví a sociální oblast</t>
  </si>
  <si>
    <t>4329 - soc. péče a pomoc dětem a mládeži j.n.</t>
  </si>
  <si>
    <t>4349 - ost. soc. péče a pomoc ost. skupinám obyvatel.</t>
  </si>
  <si>
    <t>protidrogová prevence</t>
  </si>
  <si>
    <t>3541 - prevence před drogami</t>
  </si>
  <si>
    <t xml:space="preserve"> </t>
  </si>
  <si>
    <t>pol. 5136 - knihy, učební pomůcky a tisk</t>
  </si>
  <si>
    <t>pol. 5194 - věcné dary</t>
  </si>
  <si>
    <t>pol. 5139 - nákup materiálu j.n.</t>
  </si>
  <si>
    <t>pol. 5167 - služby školení a vzdělávání</t>
  </si>
  <si>
    <t>3511 - všeobecná ambulantní péče</t>
  </si>
  <si>
    <t>pol. 5166 - konzultační, poradenské a právní služby</t>
  </si>
  <si>
    <t>3523 - odborné léčebné ústavy</t>
  </si>
  <si>
    <t xml:space="preserve">Gerontologické centrum, Praha 8 (GC) </t>
  </si>
  <si>
    <t>vč."ošetřovatelského domu" (Benákova 6, Kobylisy)</t>
  </si>
  <si>
    <t>502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</si>
  <si>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</si>
  <si>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</si>
  <si>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</si>
  <si>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</si>
  <si>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</si>
  <si>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</si>
  <si>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</si>
  <si>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</si>
  <si>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</si>
  <si>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</si>
  <si>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</si>
  <si>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</si>
  <si>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</si>
  <si>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</si>
  <si>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</si>
  <si>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</si>
  <si>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</si>
  <si>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615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</si>
  <si>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</si>
  <si>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</si>
  <si>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</si>
  <si>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</si>
  <si>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</si>
  <si>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</si>
  <si>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</si>
  <si>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propagace</t>
  </si>
  <si>
    <t>Kapitola 07 – bezpečnost</t>
  </si>
  <si>
    <t>5212 - ochrana obyvatelstva</t>
  </si>
  <si>
    <t xml:space="preserve">činnost odboru 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</si>
  <si>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</si>
  <si>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</si>
  <si>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</si>
  <si>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</si>
  <si>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telefonní paušály, Městská policie HMP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</si>
  <si>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</si>
  <si>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</si>
  <si>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</si>
  <si>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</si>
  <si>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</si>
  <si>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</si>
  <si>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</si>
  <si>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</si>
  <si>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</si>
  <si>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</si>
  <si>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</si>
  <si>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</si>
  <si>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</si>
  <si>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</si>
  <si>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</si>
  <si>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</si>
  <si>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</si>
  <si>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</si>
  <si>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</si>
  <si>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</si>
  <si>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 xml:space="preserve">pol. 5169 - nákup služeb j.n.  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</si>
  <si>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</si>
  <si>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</si>
  <si>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</si>
  <si>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</si>
  <si>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</si>
  <si>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</si>
  <si>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</si>
  <si>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5142 - realizované kurzovní ztráty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</si>
  <si>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</si>
  <si>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</si>
  <si>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</si>
  <si>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</si>
  <si>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</si>
  <si>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</si>
  <si>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5169 - nákup služeb j.n.(přísp.na strav.zaměstn.)</t>
  </si>
  <si>
    <t>pol. 5173 - cestovné</t>
  </si>
  <si>
    <t>pol. 5175 - pohoštění</t>
  </si>
  <si>
    <t>pol. 5179 - ostatní nákupy j.n.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</si>
  <si>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</si>
  <si>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</si>
  <si>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</si>
  <si>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</si>
  <si>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pol. 5909 - ostatní výdaje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</si>
  <si>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</si>
  <si>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</si>
  <si>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</si>
  <si>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</si>
  <si>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</si>
  <si>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</si>
  <si>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</si>
  <si>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pol. 5499 - ostatní neinv.transfery obyv.j.n.</t>
  </si>
  <si>
    <t>pol. 5195 - odvody za neplnění povinnosti zaměstnávat</t>
  </si>
  <si>
    <t xml:space="preserve">                 zdravotně postižené</t>
  </si>
  <si>
    <t>0931</t>
  </si>
  <si>
    <t>911</t>
  </si>
  <si>
    <t>0922</t>
  </si>
  <si>
    <t>odbor právních služeb ÚMČ</t>
  </si>
  <si>
    <t>odbor kancelář starosty ÚMČ</t>
  </si>
  <si>
    <t>oddělení hospodářské správy</t>
  </si>
  <si>
    <t>0524</t>
  </si>
  <si>
    <t>odbor sociálních věcí ÚMČ</t>
  </si>
  <si>
    <t xml:space="preserve">6310 - obecné příjmy a výdaje z fin.operací </t>
  </si>
  <si>
    <t>1031</t>
  </si>
  <si>
    <t xml:space="preserve">oddělení hospodářské správy </t>
  </si>
  <si>
    <t>odbor správy majetku ÚMČ</t>
  </si>
  <si>
    <t>0824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</si>
  <si>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</si>
  <si>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</si>
  <si>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</si>
  <si>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</si>
  <si>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</si>
  <si>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úklid exkrementů</t>
  </si>
  <si>
    <t>odbor územního rozvoje a výstavby ÚMČ</t>
  </si>
  <si>
    <t>58</t>
  </si>
  <si>
    <t>55</t>
  </si>
  <si>
    <t>v %</t>
  </si>
  <si>
    <t>(v tis. Kč)</t>
  </si>
  <si>
    <t>zřízených Městskou částí Praha 8</t>
  </si>
  <si>
    <t>618</t>
  </si>
  <si>
    <t>3419 - ostatní tělovýchovná činnost</t>
  </si>
  <si>
    <t>0417</t>
  </si>
  <si>
    <t>právní služby</t>
  </si>
  <si>
    <t>opravy tiskového parku a ostatního HW</t>
  </si>
  <si>
    <t>pol. 5168 - zprac.dat a sl.související  s info a komun.techn.</t>
  </si>
  <si>
    <t>datové linky IP VPN, Internet</t>
  </si>
  <si>
    <t>zprac.dat a služby související s ICT</t>
  </si>
  <si>
    <t>výdaje spojené se zajišt.svateb (ORG58)</t>
  </si>
  <si>
    <t xml:space="preserve">Osmička pro rodinu </t>
  </si>
  <si>
    <t>využití volného času seniorů</t>
  </si>
  <si>
    <t>622</t>
  </si>
  <si>
    <t>zpracování studií a žádostí na projekty financované z fondu EU</t>
  </si>
  <si>
    <t>zimní údržba pěších cest</t>
  </si>
  <si>
    <t>provoz odpadkových košů na psí exkrementy</t>
  </si>
  <si>
    <t xml:space="preserve">           platy a odvody</t>
  </si>
  <si>
    <t xml:space="preserve">          příspěvek na provoz DH</t>
  </si>
  <si>
    <t xml:space="preserve">           anomálie, dvě budovy</t>
  </si>
  <si>
    <t>správa azylových bytů</t>
  </si>
  <si>
    <t>monitoring tisku, tiskové konference, včetně pohoštění a prezentace Prahy 8 v médiích</t>
  </si>
  <si>
    <t>public relations městské části Praha 8</t>
  </si>
  <si>
    <t>divadlo Karla Hackera</t>
  </si>
  <si>
    <t>povodňová komise (zvláštní orgán MČ Praha 8)</t>
  </si>
  <si>
    <t xml:space="preserve">pojištění </t>
  </si>
  <si>
    <t>odbor kultury, sportu, mládeže a památkové péče ÚMČ</t>
  </si>
  <si>
    <t>rozpočet</t>
  </si>
  <si>
    <t>MŠ Korycanská</t>
  </si>
  <si>
    <t>z toho: příspěvek na energie vč. platů topičů, vodné a stočné</t>
  </si>
  <si>
    <t>z toho: příspěvek na energie vč. platů topičů vodné a stočné</t>
  </si>
  <si>
    <t xml:space="preserve"> vlastního hospodaření městské části Praha 8 a příspěvkových právnických osob (organizací)</t>
  </si>
  <si>
    <t>údržba dětských hřišť a sportovišť</t>
  </si>
  <si>
    <t xml:space="preserve">           odpisy</t>
  </si>
  <si>
    <t xml:space="preserve">          odpisy</t>
  </si>
  <si>
    <t xml:space="preserve">           primární prevence</t>
  </si>
  <si>
    <t>sociální oblast</t>
  </si>
  <si>
    <t>zdravotnictví</t>
  </si>
  <si>
    <t>503</t>
  </si>
  <si>
    <t>4351 - osobní asistence, pečovatelská služba a podpora samostatného bydlení</t>
  </si>
  <si>
    <t>pol. 5169 - nákup služeb j.n.(očkování)</t>
  </si>
  <si>
    <t>pol. 5192 - poskytnuté náhrady</t>
  </si>
  <si>
    <t>poskytnuté  náhrady</t>
  </si>
  <si>
    <t>analýzy dopravy</t>
  </si>
  <si>
    <t>úhrady sankcí</t>
  </si>
  <si>
    <t>pol. 5363 - úhrady sankcí</t>
  </si>
  <si>
    <t>péče památkové zóny, drobná umělecká díla</t>
  </si>
  <si>
    <t>fotokabinky s biometrickými daty</t>
  </si>
  <si>
    <t>cena Eduarda Štorcha</t>
  </si>
  <si>
    <t>projekt "Osmička - úřad vstřícný rodině"</t>
  </si>
  <si>
    <t>zpracování urbanistické studie a strategických vizí</t>
  </si>
  <si>
    <t xml:space="preserve">veřejná zeleň </t>
  </si>
  <si>
    <t>příspěvek - nemoci z povolání</t>
  </si>
  <si>
    <t>odbor životního prostředí ÚMČ</t>
  </si>
  <si>
    <t>na rok 2019</t>
  </si>
  <si>
    <t>analytické a poradenské služby</t>
  </si>
  <si>
    <t>Sociální a ošetřovatelské služby (SOS) v Praze 8</t>
  </si>
  <si>
    <t>ost. kulturní činnost, vč. vedení kroniky, oslava 100 let Republiky</t>
  </si>
  <si>
    <t xml:space="preserve">          náklady na stravování žáků</t>
  </si>
  <si>
    <t xml:space="preserve">          vybavení objektu Pernerova</t>
  </si>
  <si>
    <t>zóny placeného stání (platební terminály)</t>
  </si>
  <si>
    <t>0911</t>
  </si>
  <si>
    <t xml:space="preserve">odbor informatiky ÚMČ </t>
  </si>
  <si>
    <t xml:space="preserve">kamerové systémy </t>
  </si>
  <si>
    <t>nákup SW a ostatního programového vybavení</t>
  </si>
  <si>
    <t>9115</t>
  </si>
  <si>
    <t>0525</t>
  </si>
  <si>
    <t>odbor zdravotnictví a sociálních služeb ÚMČ</t>
  </si>
  <si>
    <t>Nová Palmovka - právní služby</t>
  </si>
  <si>
    <t>elektrická energie mobilní kluziště + veřejné osvětlení parkoviště Nekvasilova</t>
  </si>
  <si>
    <t>3 mobilní kluziště</t>
  </si>
  <si>
    <t>odstranění sloupů hlásné služby</t>
  </si>
  <si>
    <t>odbor občansko-správní ÚMČ</t>
  </si>
  <si>
    <t>0906</t>
  </si>
  <si>
    <t>Post Bellum - příběhy našich sousedů</t>
  </si>
  <si>
    <t>JDH (jednotka dobrovolných hasičů)</t>
  </si>
  <si>
    <t>trhy</t>
  </si>
  <si>
    <t>Skutečnost</t>
  </si>
  <si>
    <t>k</t>
  </si>
  <si>
    <t xml:space="preserve">Plnění </t>
  </si>
  <si>
    <t>k SR</t>
  </si>
  <si>
    <t>k RZ</t>
  </si>
  <si>
    <t>rozpočet (SR)</t>
  </si>
  <si>
    <t>Rozpočet</t>
  </si>
  <si>
    <t>po změnách (RZ)</t>
  </si>
  <si>
    <r>
      <t xml:space="preserve"> </t>
    </r>
    <r>
      <rPr>
        <b/>
        <sz val="12"/>
        <rFont val="Arial CE"/>
        <charset val="238"/>
      </rPr>
      <t>Běžné (neinvestiční)  a kapitálové (investiční) výdaje</t>
    </r>
  </si>
  <si>
    <t>neinvestiční transfery spolkům</t>
  </si>
  <si>
    <t>terénní programy</t>
  </si>
  <si>
    <t>3429 - ostatní zájmová činnost a rekreace</t>
  </si>
  <si>
    <t xml:space="preserve">dotace na sport </t>
  </si>
  <si>
    <t>dotace na volnoč. aktivity dětí a mládeže</t>
  </si>
  <si>
    <t>4339 - ostatní sociální péče a pomoc rodině a manželství</t>
  </si>
  <si>
    <t>sociálně právních ochrana dětí</t>
  </si>
  <si>
    <t>pěstounská péče</t>
  </si>
  <si>
    <t>623</t>
  </si>
  <si>
    <t xml:space="preserve">Schválený </t>
  </si>
  <si>
    <t xml:space="preserve">% plnění </t>
  </si>
  <si>
    <t>Kapitálové výdaje:</t>
  </si>
  <si>
    <t>MŠ Korycanská - snížení energetické náročnosti</t>
  </si>
  <si>
    <t>MŠ Řešovská - snížení energetické náročnosti</t>
  </si>
  <si>
    <t>MŠ Sokolovská - snížení energetické náročnosti</t>
  </si>
  <si>
    <t>MŠ U Školské zahrady - snížení energetické náročnosti</t>
  </si>
  <si>
    <t>MŠ U Sluncové - snížení energetické náročnosti</t>
  </si>
  <si>
    <t>MŠ Chabařovická - snížení energetické náročnosti</t>
  </si>
  <si>
    <t>Palmovka</t>
  </si>
  <si>
    <t>Revitalizace nám. Krynická a Pomořanská - studie a PD</t>
  </si>
  <si>
    <t>Výstavba podzemních kontejnerů - II. etapa - PD</t>
  </si>
  <si>
    <t>Florenc - revitalizace zelených ploch u metra - studie a PD</t>
  </si>
  <si>
    <t>Revitalizace ploch malého rozsahu vč. PD</t>
  </si>
  <si>
    <t>Podzemní kontejnery  - I. etapa - spoluúčast</t>
  </si>
  <si>
    <t>Revitalizace sídliště Střížkov - PD</t>
  </si>
  <si>
    <t>Psí louka Rokytka</t>
  </si>
  <si>
    <t>Rekonstrukce pěších cest Rokytka</t>
  </si>
  <si>
    <t>Výstavba hřiště Kaňkovského vč. PD</t>
  </si>
  <si>
    <t>Výstavba parku s volným pohybem psů Karlín</t>
  </si>
  <si>
    <t>Rekonstrukce schodů v parku Pod Korábem</t>
  </si>
  <si>
    <t>Stavební úpravy domovního vstupu – ul. Krynická</t>
  </si>
  <si>
    <t>Výstavba chodníků a rekonstrukce kontejnerových stání Krosenská</t>
  </si>
  <si>
    <t>Revitalizace prostr. a pozemku na parc. č. 2730/1 a 2730/3, Rokytka</t>
  </si>
  <si>
    <t>Skatepark</t>
  </si>
  <si>
    <t>Rekonstrukce cestní sítě Střelničná vč. PD</t>
  </si>
  <si>
    <t>Přestavba multifunkčního sportoviště u ZŠ Na Korábě</t>
  </si>
  <si>
    <t>0231</t>
  </si>
  <si>
    <t>Revitalizace třešňového sadu v ul. Na Truhlářce na Bílé skále</t>
  </si>
  <si>
    <t>0304</t>
  </si>
  <si>
    <t xml:space="preserve">odbor správy majetku ÚMČ </t>
  </si>
  <si>
    <t>Úprava parkovací plochy u polikliniky Mazurská</t>
  </si>
  <si>
    <t>PD - úprava bezmotorové komunikace A2 a A26</t>
  </si>
  <si>
    <t>PD - úprava bezmotorové komunikace A2</t>
  </si>
  <si>
    <t>PD - úprava bezmotorové komunikace Šaldova - Negrelliho viadukt</t>
  </si>
  <si>
    <t>PD - vybud. parkovacích stání v ul. Famfulíkova, Eledrova, Řešovská</t>
  </si>
  <si>
    <t>Vybudování bezmotorové komunikace A2 - Lib.most až Šaldova</t>
  </si>
  <si>
    <t>Multifunkční tlaková pánev</t>
  </si>
  <si>
    <t>Elektrický kotel 200 l</t>
  </si>
  <si>
    <t>Myčka do ŠJ</t>
  </si>
  <si>
    <t>Servisní středisko pro správu svěř. majetku (SeS) MČ Praha 8</t>
  </si>
  <si>
    <t>Rekonstrukce objektu - TDI</t>
  </si>
  <si>
    <t>ZŠ Lyčkovo náměstí , Pernerova 29</t>
  </si>
  <si>
    <t>Snížení energetické náročnosti</t>
  </si>
  <si>
    <t>Rekonstrukce tělocvičny a zázemí vč. PD a TDI</t>
  </si>
  <si>
    <t>Rekonstr. sociální zařízení a kanalizace v prostorech u tělocvičny vč. PD</t>
  </si>
  <si>
    <t>Rekonstrukce prostor po PPP</t>
  </si>
  <si>
    <t>Doplnění záchodových mís do WC vč. PD - požadavek hygieny</t>
  </si>
  <si>
    <t>MŠ Dolákova</t>
  </si>
  <si>
    <t>Rekonstrukce vstupního schodiště</t>
  </si>
  <si>
    <t>PD výměna kotlů dle nové vyhlášky platné od 1.1.2020</t>
  </si>
  <si>
    <t>MŠ a ZŠ</t>
  </si>
  <si>
    <t>Úprava vnitřních rozvodů ÚT a vodovodu</t>
  </si>
  <si>
    <t>MŠ Pozňanská</t>
  </si>
  <si>
    <t>Rekonstrukce rozvodů ÚT a TÚV u školních pavilónů č. 1 a 2</t>
  </si>
  <si>
    <t>Projektová příprava pro IV vč. TDI</t>
  </si>
  <si>
    <t>Investiční akce malého rozsahu</t>
  </si>
  <si>
    <t>Rekonstrukce protipožárních dvěří v prostorách tělocvičen</t>
  </si>
  <si>
    <t>ZŠ Pernerova</t>
  </si>
  <si>
    <t xml:space="preserve">PD na klubovnu a zázemí </t>
  </si>
  <si>
    <t>PD - Stadion mládeže Palmovka</t>
  </si>
  <si>
    <t>DSP ZŠ (zkapacitnění)</t>
  </si>
  <si>
    <t>ZŠ B. Hrabala - snížení energetické náročnosti</t>
  </si>
  <si>
    <t>ZŠ B. Hrabala</t>
  </si>
  <si>
    <t>MŠ Šimůnkova - snížení energetické náročnosti</t>
  </si>
  <si>
    <t>Rekonstrukce šaten a haly</t>
  </si>
  <si>
    <t>ZŠ Dolákova</t>
  </si>
  <si>
    <t>ZŠ Lyčkovo náměstí, Pernerova 29</t>
  </si>
  <si>
    <t>Národní kulturní památka Kobyliská střelnice (z roku 2015)</t>
  </si>
  <si>
    <t>0711</t>
  </si>
  <si>
    <t>odbor informatiky ÚMČ</t>
  </si>
  <si>
    <t>Rozvoj MKS, Integrace LKS do MKS</t>
  </si>
  <si>
    <t>Výstavba budovy Nová Palmovka</t>
  </si>
  <si>
    <t>Výstavba rodinného centra Kobylisy</t>
  </si>
  <si>
    <t>Rekonstrukce divadla Karla Hackera - PD</t>
  </si>
  <si>
    <t xml:space="preserve">Revitalizace náměstí u KD Ládví - studie a PD </t>
  </si>
  <si>
    <t>Revitalizace náměstí a parku u KD Krakov</t>
  </si>
  <si>
    <t xml:space="preserve">PD - Revitalizace parku Dlážděnka (naučná stezka) </t>
  </si>
  <si>
    <t>Revitalizace parku Dlážděnka - I. etapa</t>
  </si>
  <si>
    <t>Kapitálové výdaje celkem</t>
  </si>
  <si>
    <t>Kapitola 01 - rozvoj obce celkem</t>
  </si>
  <si>
    <t>Kapitola 02 - městská infrastruktura celkem</t>
  </si>
  <si>
    <t>Kapitola 04 - školství, mládež a sport celkem</t>
  </si>
  <si>
    <t>Kapitola 06 - kultura a cestovní ruch celkem</t>
  </si>
  <si>
    <t>Kapitola 07 - bezpečnost celkem</t>
  </si>
  <si>
    <t>Kapitola 08 - hospodářství celkem</t>
  </si>
  <si>
    <t>Rekonstrukce ploch u NP Nekvasilova</t>
  </si>
  <si>
    <t>Kapitola 09 - vnitřní správa celkem</t>
  </si>
  <si>
    <t>Kapitola 03 - doprava celkem</t>
  </si>
  <si>
    <t>Kapitola 05 - zdravotnictví a sociální oblast celkem</t>
  </si>
  <si>
    <t>3111 - mateřské školy</t>
  </si>
  <si>
    <t>3149 - ostatní zálštitosti souvis. s výchovou a vzděl. ml.</t>
  </si>
  <si>
    <t>3613 - nebytové hospodářství</t>
  </si>
  <si>
    <t>3639 - komunální služby a úz. rozvoj</t>
  </si>
  <si>
    <t>Kapitola 10 - pokladní správa celkem</t>
  </si>
  <si>
    <t>ZŠ Lyčkovo nám. - navýšení základního vzdělávání za účelem sociální inkluze</t>
  </si>
  <si>
    <t>finanční vypořádání</t>
  </si>
  <si>
    <t>6330 - převody vl.fondů v rozpočtech úz.úrovně</t>
  </si>
  <si>
    <t>technické konto</t>
  </si>
  <si>
    <t>pol. 5347 - převody mezi MČ a hl. m. Prahou</t>
  </si>
  <si>
    <t>6409 - ostatní činnosti j. n.</t>
  </si>
  <si>
    <t xml:space="preserve">           podpora inkluze v MŠ Chabařovická (OP PPR)</t>
  </si>
  <si>
    <t>3326 - poříz., zachov. a obnova hodnot místního kulturního,národ. a histor.povědomí</t>
  </si>
  <si>
    <t>Revitalizace veřejných prostor Palmovka</t>
  </si>
  <si>
    <t>Úprava pěších cest v Thomayerových sadech</t>
  </si>
  <si>
    <t>čištění komunikací</t>
  </si>
  <si>
    <t>dary obyvatelstvu</t>
  </si>
  <si>
    <t>0504</t>
  </si>
  <si>
    <t>PD na zkapacitnění a rekonstrukci obj. polikliniky Mazurská</t>
  </si>
  <si>
    <t>3539 - ostatní zdravotnická zařízení a služby pro zdravot.</t>
  </si>
  <si>
    <t>poskytnuté náhrady</t>
  </si>
  <si>
    <t>3636 - územní plánování</t>
  </si>
  <si>
    <t xml:space="preserve">Pořízení nového kotle do NP č. 501, Sokolovská 99 </t>
  </si>
  <si>
    <t>Nákup majetkových podílů</t>
  </si>
  <si>
    <t xml:space="preserve">Vybudování oplocení v ulici Zhořelecká a Ratibořská </t>
  </si>
  <si>
    <t>Dodání a umíst. pítka na psí louce v ul. Famfulíkova</t>
  </si>
  <si>
    <t>Umístění hydrantu a reko. odběrného místa ul. Famf</t>
  </si>
  <si>
    <t>0627</t>
  </si>
  <si>
    <t>odbor evropských fondů ÚMČ</t>
  </si>
  <si>
    <t xml:space="preserve">Národní kulturní památka Kobyliská střelnice  </t>
  </si>
  <si>
    <t>pol. 5029 - ostat.platby za proved.práci j.n.</t>
  </si>
  <si>
    <t>pol. 5031 - povinné pojistné na soc.zabezpečení</t>
  </si>
  <si>
    <t>0927</t>
  </si>
  <si>
    <t>0427</t>
  </si>
  <si>
    <t>2360483048216</t>
  </si>
  <si>
    <t>Modernizace zařízení a vybavení tříd v ZŠ</t>
  </si>
  <si>
    <t>2360418048916</t>
  </si>
  <si>
    <t>2541066041819</t>
  </si>
  <si>
    <t>II. etapa modernizace zařízení a vybavení tříd</t>
  </si>
  <si>
    <t>2541103041919</t>
  </si>
  <si>
    <t>ZŠ Palmovka</t>
  </si>
  <si>
    <t>2541106042019</t>
  </si>
  <si>
    <t>ZŠ P. Strozziho</t>
  </si>
  <si>
    <t>2541108042119</t>
  </si>
  <si>
    <t>KD Ládví - infostánek se skladem v prostorách foyer</t>
  </si>
  <si>
    <t>KD Ládví</t>
  </si>
  <si>
    <t>Stavební úpravy pro instalaci myčky na nádobí vč. pořízení myčky</t>
  </si>
  <si>
    <t>Odstranění objektu sauny u MŠ Dolákova</t>
  </si>
  <si>
    <t>EU - MŠ Korycanská - snížení energetické náročnosti</t>
  </si>
  <si>
    <t>EU - MŠ Řešovská - snížení energetické náročnosti</t>
  </si>
  <si>
    <t>Výstavba tělocvičny, ŠK a ŠJ</t>
  </si>
  <si>
    <t>ZŠ a MŠ Lyčkovo náměstí</t>
  </si>
  <si>
    <t>Přestavba sauny na skautskou klubovnu</t>
  </si>
  <si>
    <t>0402</t>
  </si>
  <si>
    <t>Vybudování fitparku</t>
  </si>
  <si>
    <t>MČ Praha 8</t>
  </si>
  <si>
    <t>0127</t>
  </si>
  <si>
    <t>Obec přátelská seniorům</t>
  </si>
  <si>
    <t>dotace SDH</t>
  </si>
  <si>
    <t xml:space="preserve">pol. 5132 - ochranné pomůcky  </t>
  </si>
  <si>
    <t>pol. 5492 - dary obyvatelstvu</t>
  </si>
  <si>
    <t>Operační program zaměstnanost (OPZ)</t>
  </si>
  <si>
    <t>volby do Evrop. parlamentu</t>
  </si>
  <si>
    <t>6117 - volby do Evrop. parlamentu</t>
  </si>
  <si>
    <t xml:space="preserve">Revitalizace parku Dlážděnka </t>
  </si>
  <si>
    <t xml:space="preserve">Technické zhodnocení NP č. 108, Čimická 780 </t>
  </si>
  <si>
    <t>Rekonstrukce NP z lékárny na ordinace Dr. V Holého</t>
  </si>
  <si>
    <t>Stavení úpravy NP Karlínské nám. 22</t>
  </si>
  <si>
    <t>Rekonstrukce NP  č.505 Sokolovská 46</t>
  </si>
  <si>
    <t>Rekonstrukce NP č. 504 Sokolovská 46</t>
  </si>
  <si>
    <t xml:space="preserve">Obnova síťové infrastruktury </t>
  </si>
  <si>
    <t>0726</t>
  </si>
  <si>
    <t>odbor bezpečnosti a krizového řízení ÚMČ</t>
  </si>
  <si>
    <t>Rekonstrukce služebny MP, Ďáblická 339/14</t>
  </si>
  <si>
    <t>SDH - 4 dýchací přístroje</t>
  </si>
  <si>
    <t>0403</t>
  </si>
  <si>
    <t>6409 - ostatní činnosti j.n.</t>
  </si>
  <si>
    <t>neinvest.dotace na sport,kulturu,zravodtnictví (98)</t>
  </si>
  <si>
    <t>Zabezpečovací systém</t>
  </si>
  <si>
    <t>Stavební úpravy učeben</t>
  </si>
  <si>
    <t>ZŠ a MŠ P. Strozziho</t>
  </si>
  <si>
    <t>Výměna sítí a povrchů hřišť</t>
  </si>
  <si>
    <t>Nové učebny</t>
  </si>
  <si>
    <t xml:space="preserve">6402 - finanční vypořádání minulých let </t>
  </si>
  <si>
    <t>pol. 5365 - platby daní a popl. krajům, obcím a st.fondům</t>
  </si>
  <si>
    <t>str. 16/16</t>
  </si>
  <si>
    <t>str. 15/16</t>
  </si>
  <si>
    <t>str. 14/16</t>
  </si>
  <si>
    <t>str. 13/16</t>
  </si>
  <si>
    <t>str. 12/16</t>
  </si>
  <si>
    <t>str. 11/16</t>
  </si>
  <si>
    <t>str. 10/16</t>
  </si>
  <si>
    <t>str. 9/16</t>
  </si>
  <si>
    <t>str.  8/16</t>
  </si>
  <si>
    <t>str.  7/16</t>
  </si>
  <si>
    <t>str.  6/16</t>
  </si>
  <si>
    <t>str.  5/16</t>
  </si>
  <si>
    <t>str.  4/16</t>
  </si>
  <si>
    <t>str. 3/16</t>
  </si>
  <si>
    <t>str. 2/16</t>
  </si>
  <si>
    <t>str. 1/16</t>
  </si>
  <si>
    <t xml:space="preserve">                                   </t>
  </si>
  <si>
    <t>PD na rekonstrukci vnitrobloku Kolpingova domu (dofakturace dle SoD) + projektová příprava</t>
  </si>
  <si>
    <t>k 31.12.2019</t>
  </si>
  <si>
    <t xml:space="preserve">  Plnění rozpočtu městské části Praha 8 za rok 2019</t>
  </si>
  <si>
    <t>Navýšení kapacity základního vzdělávání za účelem sociální inkluze (EU)</t>
  </si>
  <si>
    <t>ZŠ Lyčkovo náměstí, Pernerova 30</t>
  </si>
  <si>
    <t>Navýšení kapacity základního vzdělávání za účelem sociální inkluze (HMP)</t>
  </si>
  <si>
    <t>Vybavení objektu Pernerova</t>
  </si>
  <si>
    <t>EU - MŠ Pernerova - snížení energetické náročnosti</t>
  </si>
  <si>
    <t>MŠ Pernerova</t>
  </si>
  <si>
    <t>Proložka kabelu trakčního vedení</t>
  </si>
  <si>
    <t>Rekontrukce oken I. etapa</t>
  </si>
  <si>
    <t>ZŠ B. Hrabala, Na Korábě</t>
  </si>
  <si>
    <t>Stavební úpravy spojené s novým vybavením gastroprovozu</t>
  </si>
  <si>
    <t xml:space="preserve">ZŠ Glowackého </t>
  </si>
  <si>
    <t>Pořízení mobilního zázemí pro terénní sociální službu</t>
  </si>
  <si>
    <t>Rekonstrukce podlah v poliklinice Mazurská</t>
  </si>
  <si>
    <t>Centrum hygienické péče Burešova 12</t>
  </si>
  <si>
    <t>Poření oplocení budovy Nová Palmovka</t>
  </si>
  <si>
    <t>Programové vybavení vč. implementace</t>
  </si>
  <si>
    <t>Zřízení kamerového systému Pernerova 29a</t>
  </si>
  <si>
    <t>pol. 5137 - drobný hmotný dlouhodobý majetek</t>
  </si>
  <si>
    <t>6330 - převody vlastním fondům</t>
  </si>
  <si>
    <t>pol. 5347 - převody mezi statut.městy a MO</t>
  </si>
  <si>
    <t>převody mezi statutárními městy a jejich městskými obvody</t>
  </si>
  <si>
    <t>nebytové hospodářství</t>
  </si>
  <si>
    <t>6117 - volby do Evropského parlamentu</t>
  </si>
  <si>
    <t>sčítání lidu, domů a bytů</t>
  </si>
  <si>
    <t xml:space="preserve">6149 - ostatní všeobecná vnitřní správa j. n. </t>
  </si>
  <si>
    <t>oddělení plánování a rozvoje</t>
  </si>
  <si>
    <r>
      <t xml:space="preserve">pol. 5171 - opravy a udržování </t>
    </r>
    <r>
      <rPr>
        <sz val="11"/>
        <color theme="1"/>
        <rFont val="Calibri"/>
        <family val="2"/>
        <charset val="238"/>
        <scheme val="minor"/>
      </rPr>
      <t>(hardware)</t>
    </r>
  </si>
  <si>
    <t>konzultační a poradenská činnost</t>
  </si>
  <si>
    <t>Nová Palmovka BV (BOZP, odměna OSMS a.s.)</t>
  </si>
  <si>
    <t xml:space="preserve">Rekonstrukce horizontální kanalizace Mazurská </t>
  </si>
  <si>
    <t>x</t>
  </si>
  <si>
    <t>Zastupitelstva městské části Praha 8</t>
  </si>
  <si>
    <t>ze dne 17. června 2020</t>
  </si>
  <si>
    <t>Příloha č. 3 usnesení č. Usn ZMC 00x/2020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</si>
</sst>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0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 CE"/>
      <family val="2"/>
      <charset val="238"/>
    </font>
    <font>
      <i/>
      <sz val="10"/>
      <name val="Arial CE"/>
      <charset val="238"/>
    </font>
    <font>
      <sz val="10"/>
      <color rgb="FFFF0000"/>
      <name val="Arial CE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sz val="10"/>
      <color rgb="FFFF0000"/>
      <name val="Calibri"/>
      <family val="2"/>
      <charset val="238"/>
      <scheme val="minor"/>
    </font>
    <font>
      <b/>
      <sz val="16"/>
      <name val="Arial CE"/>
      <charset val="238"/>
    </font>
    <font>
      <sz val="10"/>
      <color theme="1"/>
      <name val="Arial"/>
      <family val="2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 CE"/>
      <charset val="238"/>
    </font>
    <font>
      <sz val="9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1"/>
      <color theme="1"/>
      <name val="Arial ce"/>
      <charset val="238"/>
    </font>
    <font>
      <b/>
      <sz val="10"/>
      <name val="Arial  CE"/>
      <charset val="238"/>
    </font>
    <font>
      <sz val="10"/>
      <color theme="1"/>
      <name val="Arial  CE"/>
      <charset val="238"/>
    </font>
    <font>
      <sz val="10"/>
      <name val="Arial  CE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32">
    <xf numFmtId="0" fontId="0" fillId="0" borderId="0" xfId="0"/>
    <xf numFmtId="0" fontId="4" fillId="0" borderId="0" xfId="0" applyFont="1"/>
    <xf numFmtId="0" fontId="5" fillId="0" borderId="0" xfId="0" applyFont="1"/>
    <xf numFmtId="0" fontId="15" fillId="0" borderId="0" xfId="0" applyFont="1"/>
    <xf numFmtId="0" fontId="13" fillId="0" borderId="0" xfId="0" applyFont="1"/>
    <xf numFmtId="0" fontId="17" fillId="0" borderId="2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49" fontId="17" fillId="0" borderId="4" xfId="0" applyNumberFormat="1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/>
    </xf>
    <xf numFmtId="49" fontId="17" fillId="0" borderId="7" xfId="0" applyNumberFormat="1" applyFont="1" applyFill="1" applyBorder="1" applyAlignment="1">
      <alignment horizontal="center"/>
    </xf>
    <xf numFmtId="0" fontId="13" fillId="0" borderId="10" xfId="0" applyFont="1" applyFill="1" applyBorder="1"/>
    <xf numFmtId="0" fontId="17" fillId="0" borderId="28" xfId="0" applyFont="1" applyFill="1" applyBorder="1" applyAlignment="1">
      <alignment horizontal="center"/>
    </xf>
    <xf numFmtId="0" fontId="17" fillId="0" borderId="29" xfId="0" applyFont="1" applyFill="1" applyBorder="1" applyAlignment="1">
      <alignment horizontal="center"/>
    </xf>
    <xf numFmtId="0" fontId="17" fillId="0" borderId="3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31" xfId="0" applyFont="1" applyFill="1" applyBorder="1" applyAlignment="1">
      <alignment horizontal="center"/>
    </xf>
    <xf numFmtId="0" fontId="17" fillId="0" borderId="32" xfId="0" applyFont="1" applyFill="1" applyBorder="1" applyAlignment="1">
      <alignment horizontal="center"/>
    </xf>
    <xf numFmtId="0" fontId="0" fillId="2" borderId="0" xfId="0" applyFill="1"/>
    <xf numFmtId="0" fontId="7" fillId="0" borderId="49" xfId="0" applyFont="1" applyBorder="1" applyAlignment="1">
      <alignment horizontal="center"/>
    </xf>
    <xf numFmtId="0" fontId="7" fillId="0" borderId="50" xfId="0" applyFont="1" applyBorder="1" applyAlignment="1">
      <alignment horizontal="center"/>
    </xf>
    <xf numFmtId="0" fontId="13" fillId="0" borderId="3" xfId="0" applyFont="1" applyFill="1" applyBorder="1" applyAlignment="1">
      <alignment horizontal="left"/>
    </xf>
    <xf numFmtId="0" fontId="13" fillId="0" borderId="16" xfId="0" applyFont="1" applyFill="1" applyBorder="1" applyAlignment="1">
      <alignment horizontal="center"/>
    </xf>
    <xf numFmtId="49" fontId="13" fillId="0" borderId="24" xfId="0" applyNumberFormat="1" applyFont="1" applyFill="1" applyBorder="1"/>
    <xf numFmtId="0" fontId="0" fillId="0" borderId="0" xfId="0" applyAlignment="1">
      <alignment horizontal="right"/>
    </xf>
    <xf numFmtId="0" fontId="6" fillId="2" borderId="3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14" fontId="17" fillId="0" borderId="4" xfId="0" applyNumberFormat="1" applyFont="1" applyFill="1" applyBorder="1" applyAlignment="1">
      <alignment horizontal="center"/>
    </xf>
    <xf numFmtId="14" fontId="17" fillId="0" borderId="0" xfId="0" applyNumberFormat="1" applyFont="1" applyFill="1" applyBorder="1" applyAlignment="1">
      <alignment horizontal="center"/>
    </xf>
    <xf numFmtId="0" fontId="0" fillId="0" borderId="60" xfId="0" applyBorder="1"/>
    <xf numFmtId="0" fontId="14" fillId="0" borderId="34" xfId="0" applyFont="1" applyBorder="1"/>
    <xf numFmtId="165" fontId="0" fillId="0" borderId="34" xfId="0" applyNumberFormat="1" applyBorder="1"/>
    <xf numFmtId="165" fontId="0" fillId="0" borderId="0" xfId="0" applyNumberFormat="1"/>
    <xf numFmtId="165" fontId="0" fillId="0" borderId="0" xfId="0" applyNumberFormat="1" applyAlignment="1">
      <alignment horizontal="right"/>
    </xf>
    <xf numFmtId="4" fontId="0" fillId="0" borderId="34" xfId="0" applyNumberFormat="1" applyBorder="1"/>
    <xf numFmtId="4" fontId="0" fillId="0" borderId="61" xfId="0" applyNumberFormat="1" applyBorder="1"/>
    <xf numFmtId="0" fontId="4" fillId="0" borderId="29" xfId="2" applyFont="1" applyFill="1" applyBorder="1" applyAlignment="1"/>
    <xf numFmtId="0" fontId="4" fillId="0" borderId="67" xfId="2" applyFont="1" applyFill="1" applyBorder="1" applyAlignment="1">
      <alignment vertical="center"/>
    </xf>
    <xf numFmtId="3" fontId="4" fillId="0" borderId="2" xfId="2" applyNumberFormat="1" applyFont="1" applyFill="1" applyBorder="1"/>
    <xf numFmtId="3" fontId="4" fillId="0" borderId="29" xfId="2" applyNumberFormat="1" applyFont="1" applyFill="1" applyBorder="1"/>
    <xf numFmtId="4" fontId="4" fillId="0" borderId="2" xfId="2" applyNumberFormat="1" applyFont="1" applyFill="1" applyBorder="1"/>
    <xf numFmtId="49" fontId="4" fillId="0" borderId="32" xfId="2" applyNumberFormat="1" applyFont="1" applyFill="1" applyBorder="1" applyAlignment="1">
      <alignment horizontal="left"/>
    </xf>
    <xf numFmtId="0" fontId="4" fillId="0" borderId="32" xfId="2" applyFont="1" applyFill="1" applyBorder="1" applyAlignment="1"/>
    <xf numFmtId="0" fontId="4" fillId="0" borderId="56" xfId="2" applyFont="1" applyFill="1" applyBorder="1" applyAlignment="1">
      <alignment vertical="center"/>
    </xf>
    <xf numFmtId="3" fontId="4" fillId="0" borderId="7" xfId="2" applyNumberFormat="1" applyFont="1" applyFill="1" applyBorder="1"/>
    <xf numFmtId="3" fontId="4" fillId="0" borderId="32" xfId="2" applyNumberFormat="1" applyFont="1" applyFill="1" applyBorder="1"/>
    <xf numFmtId="4" fontId="4" fillId="0" borderId="7" xfId="2" applyNumberFormat="1" applyFont="1" applyFill="1" applyBorder="1"/>
    <xf numFmtId="4" fontId="4" fillId="0" borderId="32" xfId="2" applyNumberFormat="1" applyFont="1" applyFill="1" applyBorder="1"/>
    <xf numFmtId="49" fontId="4" fillId="0" borderId="29" xfId="2" applyNumberFormat="1" applyFont="1" applyFill="1" applyBorder="1" applyAlignment="1">
      <alignment horizontal="left"/>
    </xf>
    <xf numFmtId="4" fontId="4" fillId="0" borderId="29" xfId="2" applyNumberFormat="1" applyFont="1" applyFill="1" applyBorder="1"/>
    <xf numFmtId="0" fontId="0" fillId="0" borderId="0" xfId="0" applyAlignment="1"/>
    <xf numFmtId="0" fontId="9" fillId="0" borderId="24" xfId="0" applyFont="1" applyFill="1" applyBorder="1" applyAlignment="1">
      <alignment horizontal="left"/>
    </xf>
    <xf numFmtId="165" fontId="0" fillId="2" borderId="0" xfId="0" applyNumberFormat="1" applyFill="1"/>
    <xf numFmtId="3" fontId="0" fillId="2" borderId="0" xfId="0" applyNumberFormat="1" applyFill="1"/>
    <xf numFmtId="4" fontId="0" fillId="2" borderId="0" xfId="0" applyNumberFormat="1" applyFill="1"/>
    <xf numFmtId="0" fontId="4" fillId="2" borderId="0" xfId="0" applyFont="1" applyFill="1" applyBorder="1" applyAlignment="1"/>
    <xf numFmtId="0" fontId="9" fillId="2" borderId="0" xfId="0" applyFont="1" applyFill="1"/>
    <xf numFmtId="0" fontId="0" fillId="2" borderId="0" xfId="0" applyFill="1" applyAlignment="1">
      <alignment horizontal="right"/>
    </xf>
    <xf numFmtId="0" fontId="6" fillId="2" borderId="1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2" xfId="1" applyFont="1" applyFill="1" applyBorder="1"/>
    <xf numFmtId="0" fontId="17" fillId="2" borderId="2" xfId="0" applyFont="1" applyFill="1" applyBorder="1" applyAlignment="1">
      <alignment horizontal="center"/>
    </xf>
    <xf numFmtId="0" fontId="17" fillId="2" borderId="55" xfId="0" applyFont="1" applyFill="1" applyBorder="1" applyAlignment="1">
      <alignment horizontal="center"/>
    </xf>
    <xf numFmtId="0" fontId="17" fillId="2" borderId="49" xfId="0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49" fontId="6" fillId="2" borderId="4" xfId="1" applyNumberFormat="1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7" fillId="2" borderId="18" xfId="0" applyFont="1" applyFill="1" applyBorder="1" applyAlignment="1">
      <alignment horizontal="center"/>
    </xf>
    <xf numFmtId="0" fontId="17" fillId="2" borderId="50" xfId="0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0" fontId="6" fillId="2" borderId="32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49" fontId="6" fillId="2" borderId="7" xfId="1" applyNumberFormat="1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/>
    </xf>
    <xf numFmtId="14" fontId="17" fillId="2" borderId="39" xfId="0" applyNumberFormat="1" applyFont="1" applyFill="1" applyBorder="1" applyAlignment="1">
      <alignment horizontal="center"/>
    </xf>
    <xf numFmtId="0" fontId="17" fillId="2" borderId="39" xfId="0" applyFont="1" applyFill="1" applyBorder="1" applyAlignment="1">
      <alignment horizontal="center"/>
    </xf>
    <xf numFmtId="0" fontId="7" fillId="2" borderId="63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49" fontId="10" fillId="2" borderId="17" xfId="0" applyNumberFormat="1" applyFont="1" applyFill="1" applyBorder="1"/>
    <xf numFmtId="0" fontId="0" fillId="2" borderId="34" xfId="0" applyFill="1" applyBorder="1"/>
    <xf numFmtId="0" fontId="0" fillId="2" borderId="42" xfId="0" applyFill="1" applyBorder="1"/>
    <xf numFmtId="49" fontId="7" fillId="2" borderId="0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6" fillId="2" borderId="28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3" fillId="2" borderId="2" xfId="0" applyFont="1" applyFill="1" applyBorder="1"/>
    <xf numFmtId="165" fontId="17" fillId="2" borderId="2" xfId="0" applyNumberFormat="1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/>
    </xf>
    <xf numFmtId="165" fontId="17" fillId="2" borderId="4" xfId="0" applyNumberFormat="1" applyFont="1" applyFill="1" applyBorder="1" applyAlignment="1">
      <alignment horizontal="center"/>
    </xf>
    <xf numFmtId="165" fontId="17" fillId="2" borderId="7" xfId="0" applyNumberFormat="1" applyFont="1" applyFill="1" applyBorder="1" applyAlignment="1">
      <alignment horizontal="center"/>
    </xf>
    <xf numFmtId="0" fontId="0" fillId="2" borderId="0" xfId="0" applyFill="1" applyBorder="1"/>
    <xf numFmtId="0" fontId="0" fillId="2" borderId="0" xfId="0" applyFill="1" applyAlignment="1">
      <alignment vertical="center"/>
    </xf>
    <xf numFmtId="0" fontId="4" fillId="2" borderId="0" xfId="1" applyFont="1" applyFill="1"/>
    <xf numFmtId="0" fontId="3" fillId="2" borderId="0" xfId="1" applyFont="1" applyFill="1"/>
    <xf numFmtId="0" fontId="1" fillId="2" borderId="0" xfId="1" applyFont="1" applyFill="1"/>
    <xf numFmtId="165" fontId="0" fillId="2" borderId="0" xfId="0" applyNumberFormat="1" applyFill="1" applyAlignment="1">
      <alignment horizontal="right"/>
    </xf>
    <xf numFmtId="4" fontId="0" fillId="2" borderId="0" xfId="0" applyNumberFormat="1" applyFill="1" applyAlignment="1">
      <alignment horizontal="right"/>
    </xf>
    <xf numFmtId="49" fontId="17" fillId="2" borderId="29" xfId="0" applyNumberFormat="1" applyFont="1" applyFill="1" applyBorder="1" applyAlignment="1">
      <alignment horizontal="center"/>
    </xf>
    <xf numFmtId="4" fontId="17" fillId="2" borderId="2" xfId="0" applyNumberFormat="1" applyFont="1" applyFill="1" applyBorder="1" applyAlignment="1">
      <alignment horizontal="center"/>
    </xf>
    <xf numFmtId="4" fontId="7" fillId="2" borderId="49" xfId="0" applyNumberFormat="1" applyFont="1" applyFill="1" applyBorder="1" applyAlignment="1">
      <alignment horizontal="center"/>
    </xf>
    <xf numFmtId="49" fontId="17" fillId="2" borderId="0" xfId="0" applyNumberFormat="1" applyFont="1" applyFill="1" applyBorder="1" applyAlignment="1">
      <alignment horizontal="center"/>
    </xf>
    <xf numFmtId="4" fontId="17" fillId="2" borderId="4" xfId="0" applyNumberFormat="1" applyFont="1" applyFill="1" applyBorder="1" applyAlignment="1">
      <alignment horizontal="center"/>
    </xf>
    <xf numFmtId="4" fontId="7" fillId="2" borderId="50" xfId="0" applyNumberFormat="1" applyFont="1" applyFill="1" applyBorder="1" applyAlignment="1">
      <alignment horizontal="center"/>
    </xf>
    <xf numFmtId="14" fontId="17" fillId="2" borderId="0" xfId="0" applyNumberFormat="1" applyFont="1" applyFill="1" applyBorder="1" applyAlignment="1">
      <alignment horizontal="center"/>
    </xf>
    <xf numFmtId="0" fontId="4" fillId="2" borderId="69" xfId="1" applyFont="1" applyFill="1" applyBorder="1" applyAlignment="1">
      <alignment horizontal="left"/>
    </xf>
    <xf numFmtId="0" fontId="1" fillId="2" borderId="60" xfId="1" applyFont="1" applyFill="1" applyBorder="1" applyAlignment="1"/>
    <xf numFmtId="0" fontId="1" fillId="2" borderId="34" xfId="1" applyFont="1" applyFill="1" applyBorder="1" applyAlignment="1"/>
    <xf numFmtId="0" fontId="26" fillId="2" borderId="34" xfId="0" applyFont="1" applyFill="1" applyBorder="1"/>
    <xf numFmtId="165" fontId="0" fillId="2" borderId="34" xfId="0" applyNumberFormat="1" applyFill="1" applyBorder="1"/>
    <xf numFmtId="3" fontId="0" fillId="2" borderId="60" xfId="0" applyNumberFormat="1" applyFill="1" applyBorder="1"/>
    <xf numFmtId="4" fontId="0" fillId="2" borderId="34" xfId="0" applyNumberFormat="1" applyFill="1" applyBorder="1"/>
    <xf numFmtId="4" fontId="0" fillId="2" borderId="61" xfId="0" applyNumberFormat="1" applyFill="1" applyBorder="1"/>
    <xf numFmtId="0" fontId="0" fillId="2" borderId="0" xfId="0" applyFill="1" applyAlignment="1"/>
    <xf numFmtId="49" fontId="3" fillId="2" borderId="0" xfId="2" applyNumberFormat="1" applyFont="1" applyFill="1" applyBorder="1" applyAlignment="1">
      <alignment horizontal="center"/>
    </xf>
    <xf numFmtId="0" fontId="19" fillId="2" borderId="0" xfId="2" applyNumberFormat="1" applyFont="1" applyFill="1" applyBorder="1" applyAlignment="1">
      <alignment horizontal="left"/>
    </xf>
    <xf numFmtId="0" fontId="3" fillId="2" borderId="0" xfId="2" applyFont="1" applyFill="1" applyBorder="1"/>
    <xf numFmtId="3" fontId="11" fillId="2" borderId="0" xfId="2" applyNumberFormat="1" applyFont="1" applyFill="1" applyBorder="1"/>
    <xf numFmtId="165" fontId="1" fillId="2" borderId="0" xfId="0" applyNumberFormat="1" applyFont="1" applyFill="1" applyBorder="1"/>
    <xf numFmtId="0" fontId="6" fillId="2" borderId="39" xfId="1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49" fontId="3" fillId="2" borderId="0" xfId="2" applyNumberFormat="1" applyFont="1" applyFill="1" applyBorder="1" applyAlignment="1" applyProtection="1">
      <alignment horizontal="center"/>
      <protection locked="0"/>
    </xf>
    <xf numFmtId="3" fontId="19" fillId="2" borderId="0" xfId="0" applyNumberFormat="1" applyFont="1" applyFill="1" applyBorder="1" applyAlignment="1">
      <alignment horizontal="right"/>
    </xf>
    <xf numFmtId="4" fontId="3" fillId="2" borderId="0" xfId="2" applyNumberFormat="1" applyFont="1" applyFill="1" applyBorder="1" applyAlignment="1">
      <alignment horizontal="right"/>
    </xf>
    <xf numFmtId="4" fontId="17" fillId="2" borderId="7" xfId="0" applyNumberFormat="1" applyFont="1" applyFill="1" applyBorder="1" applyAlignment="1">
      <alignment horizontal="center"/>
    </xf>
    <xf numFmtId="4" fontId="7" fillId="2" borderId="63" xfId="0" applyNumberFormat="1" applyFont="1" applyFill="1" applyBorder="1" applyAlignment="1">
      <alignment horizontal="center"/>
    </xf>
    <xf numFmtId="0" fontId="22" fillId="2" borderId="0" xfId="0" applyFont="1" applyFill="1"/>
    <xf numFmtId="3" fontId="26" fillId="2" borderId="34" xfId="0" applyNumberFormat="1" applyFont="1" applyFill="1" applyBorder="1" applyAlignment="1">
      <alignment horizontal="right"/>
    </xf>
    <xf numFmtId="49" fontId="3" fillId="2" borderId="4" xfId="0" applyNumberFormat="1" applyFont="1" applyFill="1" applyBorder="1" applyAlignment="1">
      <alignment horizontal="center"/>
    </xf>
    <xf numFmtId="0" fontId="7" fillId="2" borderId="50" xfId="0" applyFont="1" applyFill="1" applyBorder="1" applyAlignment="1">
      <alignment horizontal="center"/>
    </xf>
    <xf numFmtId="0" fontId="17" fillId="2" borderId="28" xfId="0" applyFont="1" applyFill="1" applyBorder="1" applyAlignment="1">
      <alignment horizontal="center"/>
    </xf>
    <xf numFmtId="0" fontId="17" fillId="2" borderId="29" xfId="0" applyFont="1" applyFill="1" applyBorder="1" applyAlignment="1">
      <alignment horizontal="center"/>
    </xf>
    <xf numFmtId="0" fontId="17" fillId="2" borderId="2" xfId="0" applyFont="1" applyFill="1" applyBorder="1"/>
    <xf numFmtId="0" fontId="17" fillId="2" borderId="30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49" fontId="17" fillId="2" borderId="4" xfId="0" applyNumberFormat="1" applyFont="1" applyFill="1" applyBorder="1" applyAlignment="1">
      <alignment horizontal="center"/>
    </xf>
    <xf numFmtId="0" fontId="17" fillId="2" borderId="31" xfId="0" applyFont="1" applyFill="1" applyBorder="1" applyAlignment="1">
      <alignment horizontal="center"/>
    </xf>
    <xf numFmtId="0" fontId="17" fillId="2" borderId="32" xfId="0" applyFont="1" applyFill="1" applyBorder="1" applyAlignment="1">
      <alignment horizontal="center"/>
    </xf>
    <xf numFmtId="49" fontId="17" fillId="2" borderId="7" xfId="0" applyNumberFormat="1" applyFont="1" applyFill="1" applyBorder="1" applyAlignment="1">
      <alignment horizontal="center"/>
    </xf>
    <xf numFmtId="49" fontId="13" fillId="2" borderId="58" xfId="0" applyNumberFormat="1" applyFont="1" applyFill="1" applyBorder="1" applyAlignment="1">
      <alignment horizontal="left"/>
    </xf>
    <xf numFmtId="0" fontId="13" fillId="2" borderId="34" xfId="0" applyFont="1" applyFill="1" applyBorder="1" applyAlignment="1">
      <alignment horizontal="center"/>
    </xf>
    <xf numFmtId="0" fontId="13" fillId="2" borderId="33" xfId="0" applyFont="1" applyFill="1" applyBorder="1" applyAlignment="1">
      <alignment horizontal="center"/>
    </xf>
    <xf numFmtId="49" fontId="13" fillId="2" borderId="34" xfId="0" applyNumberFormat="1" applyFont="1" applyFill="1" applyBorder="1"/>
    <xf numFmtId="3" fontId="15" fillId="2" borderId="34" xfId="0" applyNumberFormat="1" applyFont="1" applyFill="1" applyBorder="1" applyAlignment="1">
      <alignment horizontal="right"/>
    </xf>
    <xf numFmtId="165" fontId="0" fillId="2" borderId="33" xfId="0" applyNumberFormat="1" applyFill="1" applyBorder="1" applyAlignment="1">
      <alignment horizontal="right"/>
    </xf>
    <xf numFmtId="3" fontId="0" fillId="2" borderId="34" xfId="0" applyNumberFormat="1" applyFill="1" applyBorder="1" applyAlignment="1">
      <alignment horizontal="right"/>
    </xf>
    <xf numFmtId="0" fontId="0" fillId="2" borderId="64" xfId="0" applyFill="1" applyBorder="1"/>
    <xf numFmtId="0" fontId="6" fillId="2" borderId="2" xfId="0" applyFont="1" applyFill="1" applyBorder="1"/>
    <xf numFmtId="49" fontId="6" fillId="2" borderId="7" xfId="0" applyNumberFormat="1" applyFont="1" applyFill="1" applyBorder="1" applyAlignment="1">
      <alignment horizontal="center"/>
    </xf>
    <xf numFmtId="0" fontId="4" fillId="2" borderId="45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center"/>
    </xf>
    <xf numFmtId="49" fontId="4" fillId="2" borderId="9" xfId="0" applyNumberFormat="1" applyFont="1" applyFill="1" applyBorder="1"/>
    <xf numFmtId="0" fontId="0" fillId="2" borderId="16" xfId="0" applyFill="1" applyBorder="1"/>
    <xf numFmtId="0" fontId="1" fillId="2" borderId="4" xfId="0" applyFont="1" applyFill="1" applyBorder="1"/>
    <xf numFmtId="0" fontId="7" fillId="2" borderId="49" xfId="0" applyFont="1" applyFill="1" applyBorder="1" applyAlignment="1">
      <alignment horizontal="center"/>
    </xf>
    <xf numFmtId="0" fontId="6" fillId="2" borderId="31" xfId="1" applyFont="1" applyFill="1" applyBorder="1" applyAlignment="1">
      <alignment horizontal="center"/>
    </xf>
    <xf numFmtId="14" fontId="17" fillId="2" borderId="4" xfId="0" applyNumberFormat="1" applyFont="1" applyFill="1" applyBorder="1" applyAlignment="1">
      <alignment horizontal="center"/>
    </xf>
    <xf numFmtId="0" fontId="4" fillId="2" borderId="8" xfId="1" applyFont="1" applyFill="1" applyBorder="1" applyAlignment="1">
      <alignment horizontal="left"/>
    </xf>
    <xf numFmtId="0" fontId="3" fillId="2" borderId="16" xfId="1" applyFont="1" applyFill="1" applyBorder="1" applyAlignment="1"/>
    <xf numFmtId="0" fontId="0" fillId="2" borderId="60" xfId="0" applyFill="1" applyBorder="1"/>
    <xf numFmtId="0" fontId="0" fillId="2" borderId="61" xfId="0" applyFill="1" applyBorder="1"/>
    <xf numFmtId="0" fontId="17" fillId="2" borderId="1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 vertical="center" wrapText="1"/>
    </xf>
    <xf numFmtId="0" fontId="13" fillId="2" borderId="58" xfId="0" applyFont="1" applyFill="1" applyBorder="1" applyAlignment="1">
      <alignment horizontal="left"/>
    </xf>
    <xf numFmtId="0" fontId="17" fillId="2" borderId="60" xfId="0" applyFont="1" applyFill="1" applyBorder="1" applyAlignment="1">
      <alignment horizontal="center"/>
    </xf>
    <xf numFmtId="0" fontId="17" fillId="2" borderId="33" xfId="0" applyFont="1" applyFill="1" applyBorder="1"/>
    <xf numFmtId="49" fontId="17" fillId="2" borderId="33" xfId="0" applyNumberFormat="1" applyFont="1" applyFill="1" applyBorder="1"/>
    <xf numFmtId="0" fontId="28" fillId="2" borderId="59" xfId="0" applyFont="1" applyFill="1" applyBorder="1"/>
    <xf numFmtId="165" fontId="28" fillId="2" borderId="34" xfId="0" applyNumberFormat="1" applyFont="1" applyFill="1" applyBorder="1"/>
    <xf numFmtId="0" fontId="28" fillId="2" borderId="60" xfId="0" applyFont="1" applyFill="1" applyBorder="1"/>
    <xf numFmtId="0" fontId="28" fillId="2" borderId="34" xfId="0" applyFont="1" applyFill="1" applyBorder="1"/>
    <xf numFmtId="0" fontId="28" fillId="2" borderId="61" xfId="0" applyFont="1" applyFill="1" applyBorder="1"/>
    <xf numFmtId="0" fontId="13" fillId="2" borderId="45" xfId="0" applyFont="1" applyFill="1" applyBorder="1" applyAlignment="1"/>
    <xf numFmtId="0" fontId="13" fillId="2" borderId="9" xfId="0" applyFont="1" applyFill="1" applyBorder="1" applyAlignment="1"/>
    <xf numFmtId="0" fontId="13" fillId="2" borderId="10" xfId="0" applyFont="1" applyFill="1" applyBorder="1" applyAlignment="1"/>
    <xf numFmtId="49" fontId="17" fillId="2" borderId="16" xfId="0" applyNumberFormat="1" applyFont="1" applyFill="1" applyBorder="1"/>
    <xf numFmtId="0" fontId="14" fillId="2" borderId="33" xfId="0" applyFont="1" applyFill="1" applyBorder="1"/>
    <xf numFmtId="165" fontId="0" fillId="2" borderId="34" xfId="0" applyNumberFormat="1" applyFont="1" applyFill="1" applyBorder="1"/>
    <xf numFmtId="3" fontId="0" fillId="2" borderId="60" xfId="0" applyNumberFormat="1" applyFont="1" applyFill="1" applyBorder="1"/>
    <xf numFmtId="0" fontId="23" fillId="2" borderId="0" xfId="0" applyFont="1" applyFill="1"/>
    <xf numFmtId="0" fontId="13" fillId="2" borderId="3" xfId="0" applyFont="1" applyFill="1" applyBorder="1" applyAlignment="1">
      <alignment horizontal="left"/>
    </xf>
    <xf numFmtId="0" fontId="13" fillId="2" borderId="16" xfId="0" applyFont="1" applyFill="1" applyBorder="1" applyAlignment="1">
      <alignment horizontal="center"/>
    </xf>
    <xf numFmtId="0" fontId="13" fillId="2" borderId="10" xfId="0" applyFont="1" applyFill="1" applyBorder="1"/>
    <xf numFmtId="49" fontId="13" fillId="2" borderId="24" xfId="0" applyNumberFormat="1" applyFont="1" applyFill="1" applyBorder="1"/>
    <xf numFmtId="0" fontId="14" fillId="2" borderId="34" xfId="0" applyFont="1" applyFill="1" applyBorder="1"/>
    <xf numFmtId="1" fontId="0" fillId="2" borderId="0" xfId="0" applyNumberFormat="1" applyFill="1"/>
    <xf numFmtId="0" fontId="28" fillId="2" borderId="0" xfId="0" applyFont="1" applyFill="1" applyBorder="1"/>
    <xf numFmtId="0" fontId="9" fillId="2" borderId="0" xfId="0" applyFont="1" applyFill="1" applyBorder="1" applyAlignment="1">
      <alignment horizontal="justify" vertical="center" wrapText="1"/>
    </xf>
    <xf numFmtId="3" fontId="9" fillId="2" borderId="0" xfId="0" applyNumberFormat="1" applyFont="1" applyFill="1" applyBorder="1" applyAlignment="1">
      <alignment horizontal="right" vertical="center" wrapText="1"/>
    </xf>
    <xf numFmtId="165" fontId="9" fillId="2" borderId="0" xfId="0" applyNumberFormat="1" applyFont="1" applyFill="1" applyBorder="1" applyAlignment="1">
      <alignment horizontal="right" vertical="center" wrapText="1"/>
    </xf>
    <xf numFmtId="3" fontId="28" fillId="2" borderId="0" xfId="0" applyNumberFormat="1" applyFont="1" applyFill="1" applyBorder="1" applyAlignment="1">
      <alignment horizontal="right"/>
    </xf>
    <xf numFmtId="4" fontId="9" fillId="2" borderId="0" xfId="2" applyNumberFormat="1" applyFont="1" applyFill="1" applyBorder="1"/>
    <xf numFmtId="4" fontId="9" fillId="2" borderId="0" xfId="0" applyNumberFormat="1" applyFont="1" applyFill="1" applyBorder="1"/>
    <xf numFmtId="49" fontId="17" fillId="2" borderId="2" xfId="0" applyNumberFormat="1" applyFont="1" applyFill="1" applyBorder="1" applyAlignment="1">
      <alignment horizontal="center"/>
    </xf>
    <xf numFmtId="3" fontId="9" fillId="2" borderId="17" xfId="0" applyNumberFormat="1" applyFont="1" applyFill="1" applyBorder="1"/>
    <xf numFmtId="165" fontId="9" fillId="2" borderId="17" xfId="0" applyNumberFormat="1" applyFont="1" applyFill="1" applyBorder="1"/>
    <xf numFmtId="0" fontId="7" fillId="2" borderId="21" xfId="0" applyFont="1" applyFill="1" applyBorder="1"/>
    <xf numFmtId="4" fontId="7" fillId="2" borderId="21" xfId="0" applyNumberFormat="1" applyFont="1" applyFill="1" applyBorder="1"/>
    <xf numFmtId="4" fontId="7" fillId="2" borderId="57" xfId="0" applyNumberFormat="1" applyFont="1" applyFill="1" applyBorder="1"/>
    <xf numFmtId="165" fontId="0" fillId="2" borderId="0" xfId="0" applyNumberFormat="1" applyFill="1" applyAlignment="1"/>
    <xf numFmtId="0" fontId="2" fillId="2" borderId="8" xfId="2" applyFont="1" applyFill="1" applyBorder="1" applyAlignment="1">
      <alignment horizontal="left"/>
    </xf>
    <xf numFmtId="0" fontId="2" fillId="2" borderId="9" xfId="2" applyFont="1" applyFill="1" applyBorder="1" applyAlignment="1">
      <alignment horizontal="center"/>
    </xf>
    <xf numFmtId="0" fontId="1" fillId="2" borderId="21" xfId="2" applyFont="1" applyFill="1" applyBorder="1"/>
    <xf numFmtId="0" fontId="1" fillId="2" borderId="18" xfId="2" applyFont="1" applyFill="1" applyBorder="1"/>
    <xf numFmtId="3" fontId="7" fillId="2" borderId="21" xfId="0" applyNumberFormat="1" applyFont="1" applyFill="1" applyBorder="1"/>
    <xf numFmtId="165" fontId="7" fillId="2" borderId="21" xfId="0" applyNumberFormat="1" applyFont="1" applyFill="1" applyBorder="1"/>
    <xf numFmtId="3" fontId="7" fillId="2" borderId="19" xfId="0" applyNumberFormat="1" applyFont="1" applyFill="1" applyBorder="1"/>
    <xf numFmtId="4" fontId="7" fillId="2" borderId="16" xfId="2" applyNumberFormat="1" applyFont="1" applyFill="1" applyBorder="1"/>
    <xf numFmtId="4" fontId="7" fillId="2" borderId="52" xfId="0" applyNumberFormat="1" applyFont="1" applyFill="1" applyBorder="1"/>
    <xf numFmtId="0" fontId="13" fillId="2" borderId="0" xfId="0" applyFont="1" applyFill="1"/>
    <xf numFmtId="0" fontId="16" fillId="2" borderId="0" xfId="0" applyFont="1" applyFill="1"/>
    <xf numFmtId="0" fontId="15" fillId="2" borderId="0" xfId="0" applyFont="1" applyFill="1"/>
    <xf numFmtId="0" fontId="13" fillId="2" borderId="60" xfId="0" applyFont="1" applyFill="1" applyBorder="1" applyAlignment="1">
      <alignment horizontal="center"/>
    </xf>
    <xf numFmtId="0" fontId="13" fillId="2" borderId="33" xfId="0" applyFont="1" applyFill="1" applyBorder="1"/>
    <xf numFmtId="49" fontId="13" fillId="2" borderId="33" xfId="0" applyNumberFormat="1" applyFont="1" applyFill="1" applyBorder="1"/>
    <xf numFmtId="0" fontId="0" fillId="2" borderId="59" xfId="0" applyFill="1" applyBorder="1"/>
    <xf numFmtId="49" fontId="7" fillId="2" borderId="8" xfId="2" applyNumberFormat="1" applyFont="1" applyFill="1" applyBorder="1" applyAlignment="1">
      <alignment horizontal="center"/>
    </xf>
    <xf numFmtId="0" fontId="7" fillId="2" borderId="21" xfId="2" applyFont="1" applyFill="1" applyBorder="1" applyAlignment="1">
      <alignment horizontal="left"/>
    </xf>
    <xf numFmtId="0" fontId="3" fillId="2" borderId="14" xfId="2" applyFont="1" applyFill="1" applyBorder="1" applyAlignment="1">
      <alignment horizontal="left"/>
    </xf>
    <xf numFmtId="3" fontId="7" fillId="2" borderId="21" xfId="2" applyNumberFormat="1" applyFont="1" applyFill="1" applyBorder="1"/>
    <xf numFmtId="165" fontId="7" fillId="2" borderId="21" xfId="2" applyNumberFormat="1" applyFont="1" applyFill="1" applyBorder="1"/>
    <xf numFmtId="0" fontId="1" fillId="2" borderId="11" xfId="2" applyFont="1" applyFill="1" applyBorder="1"/>
    <xf numFmtId="3" fontId="1" fillId="2" borderId="21" xfId="0" applyNumberFormat="1" applyFont="1" applyFill="1" applyBorder="1"/>
    <xf numFmtId="165" fontId="1" fillId="2" borderId="21" xfId="0" applyNumberFormat="1" applyFont="1" applyFill="1" applyBorder="1"/>
    <xf numFmtId="3" fontId="1" fillId="2" borderId="19" xfId="0" applyNumberFormat="1" applyFont="1" applyFill="1" applyBorder="1"/>
    <xf numFmtId="4" fontId="1" fillId="2" borderId="16" xfId="2" applyNumberFormat="1" applyFont="1" applyFill="1" applyBorder="1"/>
    <xf numFmtId="4" fontId="1" fillId="2" borderId="52" xfId="0" applyNumberFormat="1" applyFont="1" applyFill="1" applyBorder="1"/>
    <xf numFmtId="3" fontId="7" fillId="2" borderId="21" xfId="2" applyNumberFormat="1" applyFont="1" applyFill="1" applyBorder="1" applyAlignment="1">
      <alignment horizontal="right"/>
    </xf>
    <xf numFmtId="165" fontId="7" fillId="2" borderId="21" xfId="2" applyNumberFormat="1" applyFont="1" applyFill="1" applyBorder="1" applyAlignment="1">
      <alignment horizontal="right"/>
    </xf>
    <xf numFmtId="0" fontId="1" fillId="2" borderId="20" xfId="2" applyFont="1" applyFill="1" applyBorder="1"/>
    <xf numFmtId="49" fontId="1" fillId="2" borderId="11" xfId="2" applyNumberFormat="1" applyFont="1" applyFill="1" applyBorder="1" applyAlignment="1">
      <alignment horizontal="center"/>
    </xf>
    <xf numFmtId="49" fontId="1" fillId="2" borderId="8" xfId="2" applyNumberFormat="1" applyFont="1" applyFill="1" applyBorder="1" applyAlignment="1">
      <alignment horizontal="center"/>
    </xf>
    <xf numFmtId="0" fontId="1" fillId="2" borderId="10" xfId="2" applyFont="1" applyFill="1" applyBorder="1"/>
    <xf numFmtId="0" fontId="1" fillId="2" borderId="19" xfId="2" applyFont="1" applyFill="1" applyBorder="1"/>
    <xf numFmtId="0" fontId="6" fillId="2" borderId="21" xfId="0" applyFont="1" applyFill="1" applyBorder="1" applyAlignment="1"/>
    <xf numFmtId="0" fontId="6" fillId="2" borderId="23" xfId="0" applyFont="1" applyFill="1" applyBorder="1"/>
    <xf numFmtId="4" fontId="1" fillId="2" borderId="4" xfId="2" applyNumberFormat="1" applyFont="1" applyFill="1" applyBorder="1"/>
    <xf numFmtId="4" fontId="1" fillId="2" borderId="50" xfId="0" applyNumberFormat="1" applyFont="1" applyFill="1" applyBorder="1"/>
    <xf numFmtId="0" fontId="2" fillId="2" borderId="27" xfId="2" applyFont="1" applyFill="1" applyBorder="1"/>
    <xf numFmtId="3" fontId="2" fillId="2" borderId="27" xfId="2" applyNumberFormat="1" applyFont="1" applyFill="1" applyBorder="1"/>
    <xf numFmtId="165" fontId="2" fillId="2" borderId="27" xfId="2" applyNumberFormat="1" applyFont="1" applyFill="1" applyBorder="1"/>
    <xf numFmtId="4" fontId="2" fillId="2" borderId="27" xfId="2" applyNumberFormat="1" applyFont="1" applyFill="1" applyBorder="1"/>
    <xf numFmtId="4" fontId="2" fillId="2" borderId="48" xfId="0" applyNumberFormat="1" applyFont="1" applyFill="1" applyBorder="1"/>
    <xf numFmtId="49" fontId="15" fillId="2" borderId="0" xfId="0" applyNumberFormat="1" applyFont="1" applyFill="1" applyBorder="1" applyAlignment="1">
      <alignment horizontal="center"/>
    </xf>
    <xf numFmtId="0" fontId="15" fillId="2" borderId="0" xfId="0" applyFont="1" applyFill="1" applyBorder="1"/>
    <xf numFmtId="49" fontId="9" fillId="2" borderId="0" xfId="0" applyNumberFormat="1" applyFont="1" applyFill="1" applyBorder="1" applyAlignment="1">
      <alignment horizontal="left"/>
    </xf>
    <xf numFmtId="3" fontId="4" fillId="2" borderId="0" xfId="2" applyNumberFormat="1" applyFont="1" applyFill="1" applyBorder="1"/>
    <xf numFmtId="49" fontId="7" fillId="2" borderId="46" xfId="2" applyNumberFormat="1" applyFont="1" applyFill="1" applyBorder="1" applyAlignment="1">
      <alignment horizontal="center"/>
    </xf>
    <xf numFmtId="0" fontId="17" fillId="2" borderId="14" xfId="2" applyFont="1" applyFill="1" applyBorder="1" applyAlignment="1">
      <alignment horizontal="left"/>
    </xf>
    <xf numFmtId="3" fontId="17" fillId="2" borderId="14" xfId="0" applyNumberFormat="1" applyFont="1" applyFill="1" applyBorder="1" applyAlignment="1">
      <alignment horizontal="right"/>
    </xf>
    <xf numFmtId="165" fontId="17" fillId="2" borderId="14" xfId="0" applyNumberFormat="1" applyFont="1" applyFill="1" applyBorder="1" applyAlignment="1">
      <alignment horizontal="right"/>
    </xf>
    <xf numFmtId="4" fontId="17" fillId="2" borderId="21" xfId="2" applyNumberFormat="1" applyFont="1" applyFill="1" applyBorder="1"/>
    <xf numFmtId="4" fontId="17" fillId="2" borderId="57" xfId="0" applyNumberFormat="1" applyFont="1" applyFill="1" applyBorder="1"/>
    <xf numFmtId="0" fontId="28" fillId="2" borderId="11" xfId="0" applyFont="1" applyFill="1" applyBorder="1"/>
    <xf numFmtId="0" fontId="28" fillId="2" borderId="21" xfId="0" applyFont="1" applyFill="1" applyBorder="1"/>
    <xf numFmtId="0" fontId="9" fillId="2" borderId="21" xfId="0" applyFont="1" applyFill="1" applyBorder="1" applyAlignment="1">
      <alignment horizontal="justify" vertical="center" wrapText="1"/>
    </xf>
    <xf numFmtId="3" fontId="9" fillId="2" borderId="21" xfId="0" applyNumberFormat="1" applyFont="1" applyFill="1" applyBorder="1" applyAlignment="1">
      <alignment horizontal="right" vertical="center" wrapText="1"/>
    </xf>
    <xf numFmtId="165" fontId="9" fillId="2" borderId="21" xfId="0" applyNumberFormat="1" applyFont="1" applyFill="1" applyBorder="1" applyAlignment="1">
      <alignment horizontal="right" vertical="center" wrapText="1"/>
    </xf>
    <xf numFmtId="3" fontId="28" fillId="2" borderId="21" xfId="0" applyNumberFormat="1" applyFont="1" applyFill="1" applyBorder="1" applyAlignment="1">
      <alignment horizontal="right"/>
    </xf>
    <xf numFmtId="4" fontId="9" fillId="2" borderId="21" xfId="2" applyNumberFormat="1" applyFont="1" applyFill="1" applyBorder="1"/>
    <xf numFmtId="4" fontId="9" fillId="2" borderId="57" xfId="0" applyNumberFormat="1" applyFont="1" applyFill="1" applyBorder="1"/>
    <xf numFmtId="49" fontId="17" fillId="2" borderId="15" xfId="2" applyNumberFormat="1" applyFont="1" applyFill="1" applyBorder="1" applyAlignment="1">
      <alignment horizontal="center"/>
    </xf>
    <xf numFmtId="3" fontId="31" fillId="2" borderId="21" xfId="0" applyNumberFormat="1" applyFont="1" applyFill="1" applyBorder="1" applyAlignment="1">
      <alignment horizontal="right"/>
    </xf>
    <xf numFmtId="0" fontId="17" fillId="2" borderId="21" xfId="0" applyFont="1" applyFill="1" applyBorder="1" applyAlignment="1"/>
    <xf numFmtId="165" fontId="31" fillId="2" borderId="21" xfId="0" applyNumberFormat="1" applyFont="1" applyFill="1" applyBorder="1" applyAlignment="1">
      <alignment horizontal="right"/>
    </xf>
    <xf numFmtId="49" fontId="2" fillId="2" borderId="25" xfId="2" applyNumberFormat="1" applyFont="1" applyFill="1" applyBorder="1" applyAlignment="1">
      <alignment horizontal="left"/>
    </xf>
    <xf numFmtId="0" fontId="2" fillId="2" borderId="26" xfId="2" applyFont="1" applyFill="1" applyBorder="1"/>
    <xf numFmtId="0" fontId="0" fillId="2" borderId="36" xfId="0" applyFill="1" applyBorder="1"/>
    <xf numFmtId="49" fontId="2" fillId="2" borderId="0" xfId="2" applyNumberFormat="1" applyFont="1" applyFill="1" applyBorder="1" applyAlignment="1">
      <alignment horizontal="left"/>
    </xf>
    <xf numFmtId="0" fontId="2" fillId="2" borderId="0" xfId="2" applyFont="1" applyFill="1" applyBorder="1"/>
    <xf numFmtId="49" fontId="6" fillId="2" borderId="8" xfId="2" applyNumberFormat="1" applyFont="1" applyFill="1" applyBorder="1" applyAlignment="1">
      <alignment horizontal="center"/>
    </xf>
    <xf numFmtId="0" fontId="6" fillId="2" borderId="18" xfId="2" applyFont="1" applyFill="1" applyBorder="1" applyAlignment="1">
      <alignment horizontal="left"/>
    </xf>
    <xf numFmtId="0" fontId="6" fillId="2" borderId="16" xfId="2" applyFont="1" applyFill="1" applyBorder="1" applyAlignment="1">
      <alignment horizontal="right"/>
    </xf>
    <xf numFmtId="3" fontId="6" fillId="2" borderId="20" xfId="2" applyNumberFormat="1" applyFont="1" applyFill="1" applyBorder="1" applyAlignment="1">
      <alignment horizontal="right"/>
    </xf>
    <xf numFmtId="165" fontId="6" fillId="2" borderId="20" xfId="2" applyNumberFormat="1" applyFont="1" applyFill="1" applyBorder="1" applyAlignment="1">
      <alignment horizontal="right"/>
    </xf>
    <xf numFmtId="0" fontId="3" fillId="2" borderId="21" xfId="2" applyFont="1" applyFill="1" applyBorder="1"/>
    <xf numFmtId="3" fontId="9" fillId="2" borderId="20" xfId="0" applyNumberFormat="1" applyFont="1" applyFill="1" applyBorder="1"/>
    <xf numFmtId="49" fontId="3" fillId="2" borderId="11" xfId="2" applyNumberFormat="1" applyFont="1" applyFill="1" applyBorder="1" applyAlignment="1">
      <alignment horizontal="center"/>
    </xf>
    <xf numFmtId="0" fontId="3" fillId="2" borderId="11" xfId="2" applyFont="1" applyFill="1" applyBorder="1" applyAlignment="1"/>
    <xf numFmtId="49" fontId="3" fillId="2" borderId="21" xfId="2" applyNumberFormat="1" applyFont="1" applyFill="1" applyBorder="1" applyAlignment="1">
      <alignment horizontal="center"/>
    </xf>
    <xf numFmtId="49" fontId="3" fillId="2" borderId="14" xfId="2" applyNumberFormat="1" applyFont="1" applyFill="1" applyBorder="1" applyAlignment="1">
      <alignment horizontal="center"/>
    </xf>
    <xf numFmtId="0" fontId="3" fillId="2" borderId="14" xfId="2" applyFont="1" applyFill="1" applyBorder="1"/>
    <xf numFmtId="0" fontId="3" fillId="2" borderId="46" xfId="2" applyFont="1" applyFill="1" applyBorder="1" applyAlignment="1"/>
    <xf numFmtId="0" fontId="3" fillId="2" borderId="23" xfId="2" applyFont="1" applyFill="1" applyBorder="1"/>
    <xf numFmtId="4" fontId="1" fillId="2" borderId="21" xfId="2" applyNumberFormat="1" applyFont="1" applyFill="1" applyBorder="1"/>
    <xf numFmtId="4" fontId="1" fillId="2" borderId="51" xfId="0" applyNumberFormat="1" applyFont="1" applyFill="1" applyBorder="1"/>
    <xf numFmtId="49" fontId="3" fillId="2" borderId="40" xfId="2" applyNumberFormat="1" applyFont="1" applyFill="1" applyBorder="1" applyAlignment="1">
      <alignment horizontal="center"/>
    </xf>
    <xf numFmtId="0" fontId="3" fillId="2" borderId="43" xfId="2" applyFont="1" applyFill="1" applyBorder="1"/>
    <xf numFmtId="0" fontId="3" fillId="2" borderId="40" xfId="2" applyFont="1" applyFill="1" applyBorder="1"/>
    <xf numFmtId="0" fontId="4" fillId="2" borderId="27" xfId="2" applyFont="1" applyFill="1" applyBorder="1"/>
    <xf numFmtId="3" fontId="4" fillId="2" borderId="27" xfId="2" applyNumberFormat="1" applyFont="1" applyFill="1" applyBorder="1"/>
    <xf numFmtId="165" fontId="4" fillId="2" borderId="27" xfId="2" applyNumberFormat="1" applyFont="1" applyFill="1" applyBorder="1"/>
    <xf numFmtId="0" fontId="4" fillId="2" borderId="0" xfId="2" applyFont="1" applyFill="1" applyBorder="1" applyAlignment="1"/>
    <xf numFmtId="0" fontId="4" fillId="2" borderId="0" xfId="2" applyFont="1" applyFill="1" applyBorder="1"/>
    <xf numFmtId="165" fontId="4" fillId="2" borderId="0" xfId="2" applyNumberFormat="1" applyFont="1" applyFill="1" applyBorder="1"/>
    <xf numFmtId="4" fontId="2" fillId="2" borderId="0" xfId="2" applyNumberFormat="1" applyFont="1" applyFill="1" applyBorder="1"/>
    <xf numFmtId="4" fontId="2" fillId="2" borderId="0" xfId="0" applyNumberFormat="1" applyFont="1" applyFill="1" applyBorder="1"/>
    <xf numFmtId="49" fontId="6" fillId="2" borderId="11" xfId="2" applyNumberFormat="1" applyFont="1" applyFill="1" applyBorder="1" applyAlignment="1">
      <alignment horizontal="center"/>
    </xf>
    <xf numFmtId="0" fontId="6" fillId="2" borderId="21" xfId="2" applyFont="1" applyFill="1" applyBorder="1" applyAlignment="1">
      <alignment horizontal="left"/>
    </xf>
    <xf numFmtId="0" fontId="6" fillId="2" borderId="21" xfId="2" applyFont="1" applyFill="1" applyBorder="1" applyAlignment="1">
      <alignment horizontal="right"/>
    </xf>
    <xf numFmtId="3" fontId="6" fillId="2" borderId="21" xfId="2" applyNumberFormat="1" applyFont="1" applyFill="1" applyBorder="1" applyAlignment="1">
      <alignment horizontal="right"/>
    </xf>
    <xf numFmtId="165" fontId="6" fillId="2" borderId="21" xfId="2" applyNumberFormat="1" applyFont="1" applyFill="1" applyBorder="1" applyAlignment="1">
      <alignment horizontal="right"/>
    </xf>
    <xf numFmtId="4" fontId="7" fillId="2" borderId="21" xfId="2" applyNumberFormat="1" applyFont="1" applyFill="1" applyBorder="1"/>
    <xf numFmtId="0" fontId="28" fillId="2" borderId="11" xfId="0" applyFont="1" applyFill="1" applyBorder="1" applyAlignment="1"/>
    <xf numFmtId="0" fontId="28" fillId="2" borderId="21" xfId="0" applyFont="1" applyFill="1" applyBorder="1" applyAlignment="1"/>
    <xf numFmtId="0" fontId="9" fillId="2" borderId="21" xfId="0" applyFont="1" applyFill="1" applyBorder="1" applyAlignment="1">
      <alignment wrapText="1"/>
    </xf>
    <xf numFmtId="3" fontId="9" fillId="2" borderId="21" xfId="0" applyNumberFormat="1" applyFont="1" applyFill="1" applyBorder="1" applyAlignment="1">
      <alignment horizontal="right"/>
    </xf>
    <xf numFmtId="3" fontId="9" fillId="2" borderId="21" xfId="2" applyNumberFormat="1" applyFont="1" applyFill="1" applyBorder="1" applyAlignment="1">
      <alignment horizontal="right"/>
    </xf>
    <xf numFmtId="4" fontId="9" fillId="2" borderId="21" xfId="2" applyNumberFormat="1" applyFont="1" applyFill="1" applyBorder="1" applyAlignment="1"/>
    <xf numFmtId="4" fontId="9" fillId="2" borderId="57" xfId="0" applyNumberFormat="1" applyFont="1" applyFill="1" applyBorder="1" applyAlignment="1"/>
    <xf numFmtId="0" fontId="23" fillId="2" borderId="0" xfId="0" applyFont="1" applyFill="1" applyAlignment="1"/>
    <xf numFmtId="3" fontId="9" fillId="2" borderId="21" xfId="0" applyNumberFormat="1" applyFont="1" applyFill="1" applyBorder="1" applyAlignment="1">
      <alignment horizontal="right" wrapText="1"/>
    </xf>
    <xf numFmtId="165" fontId="9" fillId="2" borderId="21" xfId="0" applyNumberFormat="1" applyFont="1" applyFill="1" applyBorder="1" applyAlignment="1">
      <alignment horizontal="right" wrapText="1"/>
    </xf>
    <xf numFmtId="49" fontId="17" fillId="2" borderId="11" xfId="2" applyNumberFormat="1" applyFont="1" applyFill="1" applyBorder="1" applyAlignment="1">
      <alignment horizontal="center"/>
    </xf>
    <xf numFmtId="0" fontId="17" fillId="2" borderId="21" xfId="2" applyFont="1" applyFill="1" applyBorder="1" applyAlignment="1">
      <alignment horizontal="left"/>
    </xf>
    <xf numFmtId="0" fontId="17" fillId="2" borderId="21" xfId="2" applyFont="1" applyFill="1" applyBorder="1" applyAlignment="1">
      <alignment horizontal="right"/>
    </xf>
    <xf numFmtId="3" fontId="17" fillId="2" borderId="21" xfId="2" applyNumberFormat="1" applyFont="1" applyFill="1" applyBorder="1" applyAlignment="1">
      <alignment horizontal="right"/>
    </xf>
    <xf numFmtId="165" fontId="17" fillId="2" borderId="21" xfId="2" applyNumberFormat="1" applyFont="1" applyFill="1" applyBorder="1" applyAlignment="1">
      <alignment horizontal="right"/>
    </xf>
    <xf numFmtId="4" fontId="17" fillId="2" borderId="21" xfId="2" applyNumberFormat="1" applyFont="1" applyFill="1" applyBorder="1" applyAlignment="1"/>
    <xf numFmtId="4" fontId="17" fillId="2" borderId="57" xfId="0" applyNumberFormat="1" applyFont="1" applyFill="1" applyBorder="1" applyAlignment="1"/>
    <xf numFmtId="49" fontId="6" fillId="2" borderId="22" xfId="2" applyNumberFormat="1" applyFont="1" applyFill="1" applyBorder="1" applyAlignment="1">
      <alignment horizontal="left"/>
    </xf>
    <xf numFmtId="49" fontId="6" fillId="2" borderId="20" xfId="2" applyNumberFormat="1" applyFont="1" applyFill="1" applyBorder="1" applyAlignment="1">
      <alignment horizontal="left"/>
    </xf>
    <xf numFmtId="49" fontId="6" fillId="2" borderId="19" xfId="2" applyNumberFormat="1" applyFont="1" applyFill="1" applyBorder="1" applyAlignment="1">
      <alignment horizontal="left"/>
    </xf>
    <xf numFmtId="3" fontId="6" fillId="2" borderId="21" xfId="2" applyNumberFormat="1" applyFont="1" applyFill="1" applyBorder="1"/>
    <xf numFmtId="165" fontId="6" fillId="2" borderId="21" xfId="2" applyNumberFormat="1" applyFont="1" applyFill="1" applyBorder="1"/>
    <xf numFmtId="49" fontId="3" fillId="2" borderId="15" xfId="2" applyNumberFormat="1" applyFont="1" applyFill="1" applyBorder="1" applyAlignment="1">
      <alignment horizontal="center"/>
    </xf>
    <xf numFmtId="49" fontId="3" fillId="2" borderId="23" xfId="2" applyNumberFormat="1" applyFont="1" applyFill="1" applyBorder="1" applyAlignment="1">
      <alignment horizontal="center"/>
    </xf>
    <xf numFmtId="49" fontId="3" fillId="2" borderId="20" xfId="2" applyNumberFormat="1" applyFont="1" applyFill="1" applyBorder="1" applyAlignment="1">
      <alignment horizontal="left"/>
    </xf>
    <xf numFmtId="0" fontId="3" fillId="2" borderId="22" xfId="2" applyFont="1" applyFill="1" applyBorder="1"/>
    <xf numFmtId="3" fontId="1" fillId="2" borderId="21" xfId="2" applyNumberFormat="1" applyFont="1" applyFill="1" applyBorder="1"/>
    <xf numFmtId="49" fontId="3" fillId="2" borderId="21" xfId="2" applyNumberFormat="1" applyFont="1" applyFill="1" applyBorder="1" applyAlignment="1">
      <alignment horizontal="left"/>
    </xf>
    <xf numFmtId="0" fontId="1" fillId="2" borderId="21" xfId="2" applyFont="1" applyFill="1" applyBorder="1" applyAlignment="1">
      <alignment vertical="center"/>
    </xf>
    <xf numFmtId="3" fontId="1" fillId="2" borderId="14" xfId="2" applyNumberFormat="1" applyFont="1" applyFill="1" applyBorder="1"/>
    <xf numFmtId="49" fontId="3" fillId="2" borderId="12" xfId="2" applyNumberFormat="1" applyFont="1" applyFill="1" applyBorder="1" applyAlignment="1">
      <alignment horizontal="center"/>
    </xf>
    <xf numFmtId="3" fontId="1" fillId="2" borderId="14" xfId="2" applyNumberFormat="1" applyFont="1" applyFill="1" applyBorder="1" applyAlignment="1">
      <alignment vertical="center"/>
    </xf>
    <xf numFmtId="0" fontId="4" fillId="2" borderId="38" xfId="2" applyFont="1" applyFill="1" applyBorder="1" applyAlignment="1">
      <alignment vertical="center"/>
    </xf>
    <xf numFmtId="4" fontId="4" fillId="2" borderId="27" xfId="2" applyNumberFormat="1" applyFont="1" applyFill="1" applyBorder="1"/>
    <xf numFmtId="4" fontId="4" fillId="2" borderId="62" xfId="2" applyNumberFormat="1" applyFont="1" applyFill="1" applyBorder="1"/>
    <xf numFmtId="4" fontId="34" fillId="2" borderId="17" xfId="0" applyNumberFormat="1" applyFont="1" applyFill="1" applyBorder="1"/>
    <xf numFmtId="49" fontId="3" fillId="2" borderId="8" xfId="2" applyNumberFormat="1" applyFont="1" applyFill="1" applyBorder="1" applyAlignment="1">
      <alignment horizontal="center"/>
    </xf>
    <xf numFmtId="49" fontId="3" fillId="2" borderId="0" xfId="2" applyNumberFormat="1" applyFont="1" applyFill="1" applyBorder="1" applyAlignment="1">
      <alignment horizontal="left"/>
    </xf>
    <xf numFmtId="3" fontId="11" fillId="2" borderId="16" xfId="2" applyNumberFormat="1" applyFont="1" applyFill="1" applyBorder="1"/>
    <xf numFmtId="165" fontId="11" fillId="2" borderId="16" xfId="2" applyNumberFormat="1" applyFont="1" applyFill="1" applyBorder="1"/>
    <xf numFmtId="4" fontId="19" fillId="2" borderId="21" xfId="2" applyNumberFormat="1" applyFont="1" applyFill="1" applyBorder="1"/>
    <xf numFmtId="4" fontId="19" fillId="2" borderId="51" xfId="0" applyNumberFormat="1" applyFont="1" applyFill="1" applyBorder="1"/>
    <xf numFmtId="49" fontId="17" fillId="2" borderId="21" xfId="2" applyNumberFormat="1" applyFont="1" applyFill="1" applyBorder="1" applyAlignment="1">
      <alignment horizontal="left"/>
    </xf>
    <xf numFmtId="49" fontId="9" fillId="2" borderId="11" xfId="2" applyNumberFormat="1" applyFont="1" applyFill="1" applyBorder="1" applyAlignment="1">
      <alignment horizontal="center"/>
    </xf>
    <xf numFmtId="49" fontId="9" fillId="2" borderId="21" xfId="2" applyNumberFormat="1" applyFont="1" applyFill="1" applyBorder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6" fillId="2" borderId="1" xfId="0" applyFont="1" applyFill="1" applyBorder="1" applyAlignment="1">
      <alignment horizontal="center"/>
    </xf>
    <xf numFmtId="3" fontId="17" fillId="2" borderId="29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3" fontId="17" fillId="2" borderId="0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4" fillId="2" borderId="45" xfId="0" applyFont="1" applyFill="1" applyBorder="1"/>
    <xf numFmtId="0" fontId="4" fillId="2" borderId="8" xfId="0" applyFont="1" applyFill="1" applyBorder="1" applyAlignment="1">
      <alignment horizontal="center"/>
    </xf>
    <xf numFmtId="49" fontId="4" fillId="2" borderId="16" xfId="0" applyNumberFormat="1" applyFont="1" applyFill="1" applyBorder="1"/>
    <xf numFmtId="0" fontId="24" fillId="2" borderId="16" xfId="0" applyFont="1" applyFill="1" applyBorder="1"/>
    <xf numFmtId="0" fontId="1" fillId="2" borderId="17" xfId="2" applyFont="1" applyFill="1" applyBorder="1"/>
    <xf numFmtId="49" fontId="1" fillId="2" borderId="11" xfId="2" applyNumberFormat="1" applyFill="1" applyBorder="1" applyAlignment="1">
      <alignment horizontal="center"/>
    </xf>
    <xf numFmtId="49" fontId="1" fillId="2" borderId="20" xfId="2" applyNumberFormat="1" applyFill="1" applyBorder="1" applyAlignment="1">
      <alignment horizontal="center"/>
    </xf>
    <xf numFmtId="0" fontId="1" fillId="2" borderId="21" xfId="2" applyFill="1" applyBorder="1"/>
    <xf numFmtId="0" fontId="1" fillId="2" borderId="22" xfId="2" applyFont="1" applyFill="1" applyBorder="1"/>
    <xf numFmtId="0" fontId="1" fillId="2" borderId="21" xfId="0" applyFont="1" applyFill="1" applyBorder="1"/>
    <xf numFmtId="49" fontId="1" fillId="2" borderId="8" xfId="2" applyNumberFormat="1" applyFill="1" applyBorder="1" applyAlignment="1">
      <alignment horizontal="center"/>
    </xf>
    <xf numFmtId="49" fontId="1" fillId="2" borderId="10" xfId="2" applyNumberFormat="1" applyFill="1" applyBorder="1" applyAlignment="1">
      <alignment horizontal="center"/>
    </xf>
    <xf numFmtId="0" fontId="1" fillId="2" borderId="16" xfId="2" applyFill="1" applyBorder="1"/>
    <xf numFmtId="0" fontId="1" fillId="2" borderId="20" xfId="0" applyFont="1" applyFill="1" applyBorder="1"/>
    <xf numFmtId="165" fontId="1" fillId="2" borderId="20" xfId="0" applyNumberFormat="1" applyFont="1" applyFill="1" applyBorder="1"/>
    <xf numFmtId="0" fontId="1" fillId="2" borderId="20" xfId="0" applyFont="1" applyFill="1" applyBorder="1" applyAlignment="1">
      <alignment horizontal="left"/>
    </xf>
    <xf numFmtId="3" fontId="7" fillId="2" borderId="20" xfId="0" applyNumberFormat="1" applyFont="1" applyFill="1" applyBorder="1"/>
    <xf numFmtId="165" fontId="7" fillId="2" borderId="20" xfId="0" applyNumberFormat="1" applyFont="1" applyFill="1" applyBorder="1"/>
    <xf numFmtId="49" fontId="1" fillId="2" borderId="21" xfId="0" applyNumberFormat="1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21" xfId="0" applyFont="1" applyFill="1" applyBorder="1" applyAlignment="1">
      <alignment horizontal="left"/>
    </xf>
    <xf numFmtId="3" fontId="1" fillId="2" borderId="20" xfId="0" applyNumberFormat="1" applyFont="1" applyFill="1" applyBorder="1"/>
    <xf numFmtId="0" fontId="1" fillId="2" borderId="18" xfId="0" applyFont="1" applyFill="1" applyBorder="1"/>
    <xf numFmtId="0" fontId="1" fillId="2" borderId="15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/>
    <xf numFmtId="0" fontId="1" fillId="2" borderId="8" xfId="0" applyFont="1" applyFill="1" applyBorder="1"/>
    <xf numFmtId="0" fontId="1" fillId="2" borderId="16" xfId="0" applyFont="1" applyFill="1" applyBorder="1" applyAlignment="1">
      <alignment horizontal="center"/>
    </xf>
    <xf numFmtId="0" fontId="1" fillId="2" borderId="16" xfId="0" applyFont="1" applyFill="1" applyBorder="1"/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wrapText="1"/>
    </xf>
    <xf numFmtId="0" fontId="1" fillId="2" borderId="20" xfId="0" applyFont="1" applyFill="1" applyBorder="1" applyAlignment="1">
      <alignment horizontal="left" wrapText="1"/>
    </xf>
    <xf numFmtId="3" fontId="1" fillId="2" borderId="10" xfId="0" applyNumberFormat="1" applyFont="1" applyFill="1" applyBorder="1"/>
    <xf numFmtId="165" fontId="1" fillId="2" borderId="16" xfId="0" applyNumberFormat="1" applyFont="1" applyFill="1" applyBorder="1"/>
    <xf numFmtId="3" fontId="1" fillId="2" borderId="9" xfId="0" applyNumberFormat="1" applyFont="1" applyFill="1" applyBorder="1"/>
    <xf numFmtId="0" fontId="1" fillId="2" borderId="21" xfId="0" applyFont="1" applyFill="1" applyBorder="1" applyAlignment="1">
      <alignment horizontal="center"/>
    </xf>
    <xf numFmtId="49" fontId="1" fillId="2" borderId="21" xfId="0" applyNumberFormat="1" applyFont="1" applyFill="1" applyBorder="1"/>
    <xf numFmtId="49" fontId="1" fillId="2" borderId="16" xfId="0" applyNumberFormat="1" applyFont="1" applyFill="1" applyBorder="1"/>
    <xf numFmtId="4" fontId="1" fillId="2" borderId="40" xfId="2" applyNumberFormat="1" applyFont="1" applyFill="1" applyBorder="1"/>
    <xf numFmtId="4" fontId="1" fillId="2" borderId="53" xfId="0" applyNumberFormat="1" applyFont="1" applyFill="1" applyBorder="1"/>
    <xf numFmtId="0" fontId="2" fillId="2" borderId="37" xfId="0" applyFont="1" applyFill="1" applyBorder="1" applyAlignment="1">
      <alignment vertical="center"/>
    </xf>
    <xf numFmtId="3" fontId="2" fillId="2" borderId="27" xfId="0" applyNumberFormat="1" applyFont="1" applyFill="1" applyBorder="1" applyAlignment="1">
      <alignment vertical="center"/>
    </xf>
    <xf numFmtId="165" fontId="2" fillId="2" borderId="27" xfId="0" applyNumberFormat="1" applyFont="1" applyFill="1" applyBorder="1" applyAlignment="1">
      <alignment vertical="center"/>
    </xf>
    <xf numFmtId="4" fontId="2" fillId="2" borderId="27" xfId="2" applyNumberFormat="1" applyFont="1" applyFill="1" applyBorder="1" applyAlignment="1">
      <alignment vertical="center"/>
    </xf>
    <xf numFmtId="4" fontId="2" fillId="2" borderId="48" xfId="0" applyNumberFormat="1" applyFont="1" applyFill="1" applyBorder="1" applyAlignment="1">
      <alignment vertical="center"/>
    </xf>
    <xf numFmtId="4" fontId="0" fillId="2" borderId="0" xfId="0" applyNumberForma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4" fontId="2" fillId="2" borderId="0" xfId="2" applyNumberFormat="1" applyFont="1" applyFill="1" applyBorder="1" applyAlignment="1">
      <alignment vertical="center"/>
    </xf>
    <xf numFmtId="4" fontId="2" fillId="2" borderId="0" xfId="0" applyNumberFormat="1" applyFont="1" applyFill="1" applyBorder="1" applyAlignment="1">
      <alignment vertical="center"/>
    </xf>
    <xf numFmtId="0" fontId="17" fillId="2" borderId="21" xfId="2" applyFont="1" applyFill="1" applyBorder="1"/>
    <xf numFmtId="2" fontId="17" fillId="2" borderId="21" xfId="0" applyNumberFormat="1" applyFont="1" applyFill="1" applyBorder="1"/>
    <xf numFmtId="2" fontId="17" fillId="2" borderId="57" xfId="0" applyNumberFormat="1" applyFont="1" applyFill="1" applyBorder="1"/>
    <xf numFmtId="49" fontId="6" fillId="2" borderId="45" xfId="2" applyNumberFormat="1" applyFont="1" applyFill="1" applyBorder="1" applyAlignment="1">
      <alignment horizontal="center" vertical="center"/>
    </xf>
    <xf numFmtId="0" fontId="4" fillId="2" borderId="22" xfId="2" applyFont="1" applyFill="1" applyBorder="1" applyAlignment="1">
      <alignment horizontal="left" vertical="center"/>
    </xf>
    <xf numFmtId="0" fontId="32" fillId="2" borderId="21" xfId="0" applyFont="1" applyFill="1" applyBorder="1" applyAlignment="1">
      <alignment horizontal="left" vertical="center" wrapText="1"/>
    </xf>
    <xf numFmtId="49" fontId="1" fillId="2" borderId="16" xfId="2" applyNumberFormat="1" applyFont="1" applyFill="1" applyBorder="1"/>
    <xf numFmtId="3" fontId="3" fillId="2" borderId="17" xfId="2" applyNumberFormat="1" applyFont="1" applyFill="1" applyBorder="1"/>
    <xf numFmtId="165" fontId="3" fillId="2" borderId="17" xfId="2" applyNumberFormat="1" applyFont="1" applyFill="1" applyBorder="1"/>
    <xf numFmtId="3" fontId="9" fillId="2" borderId="21" xfId="2" applyNumberFormat="1" applyFont="1" applyFill="1" applyBorder="1"/>
    <xf numFmtId="4" fontId="1" fillId="2" borderId="20" xfId="0" applyNumberFormat="1" applyFont="1" applyFill="1" applyBorder="1"/>
    <xf numFmtId="4" fontId="1" fillId="2" borderId="42" xfId="0" applyNumberFormat="1" applyFont="1" applyFill="1" applyBorder="1"/>
    <xf numFmtId="49" fontId="6" fillId="2" borderId="30" xfId="2" applyNumberFormat="1" applyFont="1" applyFill="1" applyBorder="1" applyAlignment="1">
      <alignment horizontal="center" vertical="center"/>
    </xf>
    <xf numFmtId="0" fontId="4" fillId="2" borderId="24" xfId="2" applyFont="1" applyFill="1" applyBorder="1" applyAlignment="1">
      <alignment horizontal="left" vertical="center"/>
    </xf>
    <xf numFmtId="0" fontId="32" fillId="2" borderId="4" xfId="0" applyFont="1" applyFill="1" applyBorder="1" applyAlignment="1">
      <alignment horizontal="left" vertical="center" wrapText="1"/>
    </xf>
    <xf numFmtId="49" fontId="1" fillId="2" borderId="4" xfId="2" applyNumberFormat="1" applyFont="1" applyFill="1" applyBorder="1"/>
    <xf numFmtId="3" fontId="3" fillId="2" borderId="24" xfId="2" applyNumberFormat="1" applyFont="1" applyFill="1" applyBorder="1"/>
    <xf numFmtId="0" fontId="4" fillId="2" borderId="27" xfId="2" applyFont="1" applyFill="1" applyBorder="1" applyAlignment="1">
      <alignment vertical="center"/>
    </xf>
    <xf numFmtId="3" fontId="2" fillId="2" borderId="27" xfId="2" applyNumberFormat="1" applyFont="1" applyFill="1" applyBorder="1" applyAlignment="1">
      <alignment vertical="center"/>
    </xf>
    <xf numFmtId="165" fontId="2" fillId="2" borderId="27" xfId="2" applyNumberFormat="1" applyFont="1" applyFill="1" applyBorder="1" applyAlignment="1">
      <alignment vertical="center"/>
    </xf>
    <xf numFmtId="2" fontId="2" fillId="2" borderId="27" xfId="0" applyNumberFormat="1" applyFont="1" applyFill="1" applyBorder="1" applyAlignment="1">
      <alignment vertical="center"/>
    </xf>
    <xf numFmtId="2" fontId="2" fillId="2" borderId="48" xfId="0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horizontal="left"/>
    </xf>
    <xf numFmtId="0" fontId="1" fillId="2" borderId="0" xfId="1" applyFill="1"/>
    <xf numFmtId="0" fontId="5" fillId="2" borderId="0" xfId="1" applyFont="1" applyFill="1"/>
    <xf numFmtId="0" fontId="9" fillId="2" borderId="24" xfId="0" applyFont="1" applyFill="1" applyBorder="1" applyAlignment="1">
      <alignment horizontal="left"/>
    </xf>
    <xf numFmtId="49" fontId="6" fillId="2" borderId="21" xfId="2" applyNumberFormat="1" applyFont="1" applyFill="1" applyBorder="1" applyAlignment="1">
      <alignment horizontal="left"/>
    </xf>
    <xf numFmtId="0" fontId="6" fillId="2" borderId="21" xfId="2" applyFont="1" applyFill="1" applyBorder="1"/>
    <xf numFmtId="2" fontId="7" fillId="2" borderId="21" xfId="0" applyNumberFormat="1" applyFont="1" applyFill="1" applyBorder="1"/>
    <xf numFmtId="2" fontId="7" fillId="2" borderId="51" xfId="0" applyNumberFormat="1" applyFont="1" applyFill="1" applyBorder="1"/>
    <xf numFmtId="0" fontId="3" fillId="2" borderId="21" xfId="2" applyFont="1" applyFill="1" applyBorder="1" applyAlignment="1">
      <alignment horizontal="center"/>
    </xf>
    <xf numFmtId="0" fontId="3" fillId="2" borderId="21" xfId="2" applyFont="1" applyFill="1" applyBorder="1" applyAlignment="1">
      <alignment horizontal="left"/>
    </xf>
    <xf numFmtId="2" fontId="1" fillId="2" borderId="21" xfId="0" applyNumberFormat="1" applyFont="1" applyFill="1" applyBorder="1"/>
    <xf numFmtId="2" fontId="1" fillId="2" borderId="51" xfId="0" applyNumberFormat="1" applyFont="1" applyFill="1" applyBorder="1"/>
    <xf numFmtId="49" fontId="3" fillId="2" borderId="21" xfId="2" applyNumberFormat="1" applyFont="1" applyFill="1" applyBorder="1"/>
    <xf numFmtId="0" fontId="0" fillId="2" borderId="11" xfId="0" applyFill="1" applyBorder="1"/>
    <xf numFmtId="0" fontId="3" fillId="2" borderId="21" xfId="2" applyFont="1" applyFill="1" applyBorder="1" applyAlignment="1">
      <alignment horizontal="left" vertical="top" wrapText="1"/>
    </xf>
    <xf numFmtId="165" fontId="1" fillId="2" borderId="19" xfId="0" applyNumberFormat="1" applyFont="1" applyFill="1" applyBorder="1"/>
    <xf numFmtId="2" fontId="1" fillId="2" borderId="20" xfId="0" applyNumberFormat="1" applyFont="1" applyFill="1" applyBorder="1"/>
    <xf numFmtId="165" fontId="7" fillId="2" borderId="19" xfId="0" applyNumberFormat="1" applyFont="1" applyFill="1" applyBorder="1"/>
    <xf numFmtId="0" fontId="0" fillId="2" borderId="0" xfId="0" applyFill="1" applyAlignment="1">
      <alignment horizontal="left"/>
    </xf>
    <xf numFmtId="165" fontId="1" fillId="2" borderId="13" xfId="0" applyNumberFormat="1" applyFont="1" applyFill="1" applyBorder="1"/>
    <xf numFmtId="3" fontId="1" fillId="2" borderId="14" xfId="0" applyNumberFormat="1" applyFont="1" applyFill="1" applyBorder="1"/>
    <xf numFmtId="0" fontId="1" fillId="2" borderId="0" xfId="2" applyFill="1"/>
    <xf numFmtId="0" fontId="9" fillId="2" borderId="21" xfId="2" applyFont="1" applyFill="1" applyBorder="1" applyAlignment="1">
      <alignment horizontal="center"/>
    </xf>
    <xf numFmtId="0" fontId="9" fillId="2" borderId="21" xfId="0" applyFont="1" applyFill="1" applyBorder="1" applyAlignment="1">
      <alignment horizontal="justify" wrapText="1"/>
    </xf>
    <xf numFmtId="2" fontId="9" fillId="2" borderId="21" xfId="0" applyNumberFormat="1" applyFont="1" applyFill="1" applyBorder="1" applyAlignment="1"/>
    <xf numFmtId="2" fontId="9" fillId="2" borderId="57" xfId="0" applyNumberFormat="1" applyFont="1" applyFill="1" applyBorder="1" applyAlignment="1"/>
    <xf numFmtId="0" fontId="29" fillId="2" borderId="0" xfId="0" applyFont="1" applyFill="1" applyAlignment="1">
      <alignment horizontal="right"/>
    </xf>
    <xf numFmtId="49" fontId="17" fillId="2" borderId="8" xfId="0" applyNumberFormat="1" applyFont="1" applyFill="1" applyBorder="1" applyAlignment="1">
      <alignment horizontal="center"/>
    </xf>
    <xf numFmtId="0" fontId="17" fillId="2" borderId="22" xfId="0" applyFont="1" applyFill="1" applyBorder="1" applyAlignment="1"/>
    <xf numFmtId="0" fontId="17" fillId="2" borderId="10" xfId="0" applyFont="1" applyFill="1" applyBorder="1" applyAlignment="1"/>
    <xf numFmtId="0" fontId="17" fillId="2" borderId="23" xfId="0" applyFont="1" applyFill="1" applyBorder="1"/>
    <xf numFmtId="3" fontId="17" fillId="2" borderId="21" xfId="0" applyNumberFormat="1" applyFont="1" applyFill="1" applyBorder="1"/>
    <xf numFmtId="165" fontId="17" fillId="2" borderId="21" xfId="0" applyNumberFormat="1" applyFont="1" applyFill="1" applyBorder="1"/>
    <xf numFmtId="4" fontId="7" fillId="2" borderId="10" xfId="0" applyNumberFormat="1" applyFont="1" applyFill="1" applyBorder="1"/>
    <xf numFmtId="4" fontId="7" fillId="2" borderId="42" xfId="0" applyNumberFormat="1" applyFont="1" applyFill="1" applyBorder="1"/>
    <xf numFmtId="49" fontId="17" fillId="2" borderId="11" xfId="0" applyNumberFormat="1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21" xfId="0" applyFont="1" applyFill="1" applyBorder="1"/>
    <xf numFmtId="0" fontId="9" fillId="2" borderId="23" xfId="0" applyFont="1" applyFill="1" applyBorder="1" applyAlignment="1">
      <alignment horizontal="left"/>
    </xf>
    <xf numFmtId="165" fontId="9" fillId="2" borderId="21" xfId="0" applyNumberFormat="1" applyFont="1" applyFill="1" applyBorder="1"/>
    <xf numFmtId="4" fontId="1" fillId="2" borderId="10" xfId="0" applyNumberFormat="1" applyFont="1" applyFill="1" applyBorder="1"/>
    <xf numFmtId="0" fontId="17" fillId="2" borderId="12" xfId="0" applyFont="1" applyFill="1" applyBorder="1" applyAlignment="1"/>
    <xf numFmtId="49" fontId="17" fillId="2" borderId="15" xfId="0" applyNumberFormat="1" applyFont="1" applyFill="1" applyBorder="1" applyAlignment="1">
      <alignment horizontal="center"/>
    </xf>
    <xf numFmtId="49" fontId="17" fillId="2" borderId="14" xfId="0" applyNumberFormat="1" applyFont="1" applyFill="1" applyBorder="1" applyAlignment="1">
      <alignment horizontal="left"/>
    </xf>
    <xf numFmtId="0" fontId="9" fillId="2" borderId="14" xfId="0" applyFont="1" applyFill="1" applyBorder="1" applyAlignment="1">
      <alignment horizontal="left"/>
    </xf>
    <xf numFmtId="0" fontId="9" fillId="2" borderId="23" xfId="0" applyFont="1" applyFill="1" applyBorder="1"/>
    <xf numFmtId="49" fontId="17" fillId="2" borderId="21" xfId="0" applyNumberFormat="1" applyFont="1" applyFill="1" applyBorder="1" applyAlignment="1">
      <alignment horizontal="left"/>
    </xf>
    <xf numFmtId="0" fontId="9" fillId="2" borderId="21" xfId="0" applyFont="1" applyFill="1" applyBorder="1" applyAlignment="1">
      <alignment horizontal="left"/>
    </xf>
    <xf numFmtId="49" fontId="9" fillId="2" borderId="23" xfId="0" applyNumberFormat="1" applyFont="1" applyFill="1" applyBorder="1"/>
    <xf numFmtId="3" fontId="17" fillId="2" borderId="16" xfId="0" applyNumberFormat="1" applyFont="1" applyFill="1" applyBorder="1"/>
    <xf numFmtId="165" fontId="17" fillId="2" borderId="16" xfId="0" applyNumberFormat="1" applyFont="1" applyFill="1" applyBorder="1"/>
    <xf numFmtId="0" fontId="9" fillId="2" borderId="15" xfId="0" applyFont="1" applyFill="1" applyBorder="1"/>
    <xf numFmtId="0" fontId="9" fillId="2" borderId="14" xfId="0" applyFont="1" applyFill="1" applyBorder="1"/>
    <xf numFmtId="0" fontId="4" fillId="2" borderId="37" xfId="0" applyFont="1" applyFill="1" applyBorder="1" applyAlignment="1">
      <alignment vertical="center"/>
    </xf>
    <xf numFmtId="4" fontId="2" fillId="2" borderId="37" xfId="0" applyNumberFormat="1" applyFont="1" applyFill="1" applyBorder="1" applyAlignment="1">
      <alignment vertical="center"/>
    </xf>
    <xf numFmtId="4" fontId="2" fillId="2" borderId="62" xfId="0" applyNumberFormat="1" applyFont="1" applyFill="1" applyBorder="1" applyAlignment="1">
      <alignment vertical="center"/>
    </xf>
    <xf numFmtId="0" fontId="17" fillId="2" borderId="21" xfId="0" applyFont="1" applyFill="1" applyBorder="1"/>
    <xf numFmtId="3" fontId="17" fillId="2" borderId="21" xfId="0" applyNumberFormat="1" applyFont="1" applyFill="1" applyBorder="1" applyAlignment="1">
      <alignment horizontal="right"/>
    </xf>
    <xf numFmtId="165" fontId="17" fillId="2" borderId="21" xfId="0" applyNumberFormat="1" applyFont="1" applyFill="1" applyBorder="1" applyAlignment="1">
      <alignment horizontal="right"/>
    </xf>
    <xf numFmtId="49" fontId="9" fillId="2" borderId="21" xfId="0" applyNumberFormat="1" applyFont="1" applyFill="1" applyBorder="1"/>
    <xf numFmtId="4" fontId="1" fillId="2" borderId="21" xfId="0" applyNumberFormat="1" applyFont="1" applyFill="1" applyBorder="1"/>
    <xf numFmtId="49" fontId="17" fillId="2" borderId="30" xfId="0" applyNumberFormat="1" applyFont="1" applyFill="1" applyBorder="1" applyAlignment="1">
      <alignment horizontal="center"/>
    </xf>
    <xf numFmtId="0" fontId="17" fillId="2" borderId="0" xfId="0" applyFont="1" applyFill="1" applyBorder="1" applyAlignment="1"/>
    <xf numFmtId="0" fontId="9" fillId="2" borderId="18" xfId="0" applyFont="1" applyFill="1" applyBorder="1" applyAlignment="1">
      <alignment horizontal="justify" vertical="center" wrapText="1"/>
    </xf>
    <xf numFmtId="49" fontId="9" fillId="2" borderId="18" xfId="0" applyNumberFormat="1" applyFont="1" applyFill="1" applyBorder="1"/>
    <xf numFmtId="3" fontId="9" fillId="2" borderId="4" xfId="0" applyNumberFormat="1" applyFont="1" applyFill="1" applyBorder="1" applyAlignment="1">
      <alignment horizontal="right" vertical="center" wrapText="1"/>
    </xf>
    <xf numFmtId="165" fontId="9" fillId="2" borderId="4" xfId="0" applyNumberFormat="1" applyFont="1" applyFill="1" applyBorder="1" applyAlignment="1">
      <alignment horizontal="right" vertical="center" wrapText="1"/>
    </xf>
    <xf numFmtId="3" fontId="9" fillId="2" borderId="4" xfId="0" applyNumberFormat="1" applyFont="1" applyFill="1" applyBorder="1" applyAlignment="1">
      <alignment horizontal="right"/>
    </xf>
    <xf numFmtId="4" fontId="1" fillId="2" borderId="18" xfId="0" applyNumberFormat="1" applyFont="1" applyFill="1" applyBorder="1"/>
    <xf numFmtId="4" fontId="1" fillId="2" borderId="5" xfId="0" applyNumberFormat="1" applyFont="1" applyFill="1" applyBorder="1"/>
    <xf numFmtId="4" fontId="1" fillId="2" borderId="57" xfId="0" applyNumberFormat="1" applyFont="1" applyFill="1" applyBorder="1"/>
    <xf numFmtId="0" fontId="17" fillId="2" borderId="14" xfId="0" applyFont="1" applyFill="1" applyBorder="1" applyAlignment="1"/>
    <xf numFmtId="0" fontId="9" fillId="2" borderId="14" xfId="0" applyFont="1" applyFill="1" applyBorder="1" applyAlignment="1">
      <alignment horizontal="justify" vertical="center" wrapText="1"/>
    </xf>
    <xf numFmtId="49" fontId="9" fillId="2" borderId="14" xfId="0" applyNumberFormat="1" applyFont="1" applyFill="1" applyBorder="1"/>
    <xf numFmtId="3" fontId="9" fillId="2" borderId="14" xfId="0" applyNumberFormat="1" applyFont="1" applyFill="1" applyBorder="1" applyAlignment="1">
      <alignment horizontal="right" vertical="center" wrapText="1"/>
    </xf>
    <xf numFmtId="165" fontId="9" fillId="2" borderId="14" xfId="0" applyNumberFormat="1" applyFont="1" applyFill="1" applyBorder="1" applyAlignment="1">
      <alignment horizontal="right" vertical="center" wrapText="1"/>
    </xf>
    <xf numFmtId="3" fontId="9" fillId="2" borderId="14" xfId="0" applyNumberFormat="1" applyFont="1" applyFill="1" applyBorder="1" applyAlignment="1">
      <alignment horizontal="right"/>
    </xf>
    <xf numFmtId="4" fontId="1" fillId="2" borderId="35" xfId="0" applyNumberFormat="1" applyFont="1" applyFill="1" applyBorder="1"/>
    <xf numFmtId="0" fontId="0" fillId="2" borderId="0" xfId="0" applyFont="1" applyFill="1" applyBorder="1" applyAlignment="1"/>
    <xf numFmtId="0" fontId="0" fillId="2" borderId="0" xfId="0" applyFont="1" applyFill="1"/>
    <xf numFmtId="0" fontId="0" fillId="2" borderId="0" xfId="0" applyFont="1" applyFill="1" applyAlignment="1">
      <alignment horizontal="right"/>
    </xf>
    <xf numFmtId="0" fontId="0" fillId="2" borderId="16" xfId="0" applyFont="1" applyFill="1" applyBorder="1"/>
    <xf numFmtId="0" fontId="0" fillId="2" borderId="10" xfId="0" applyFont="1" applyFill="1" applyBorder="1"/>
    <xf numFmtId="0" fontId="0" fillId="2" borderId="42" xfId="0" applyFont="1" applyFill="1" applyBorder="1"/>
    <xf numFmtId="3" fontId="9" fillId="2" borderId="21" xfId="0" applyNumberFormat="1" applyFont="1" applyFill="1" applyBorder="1"/>
    <xf numFmtId="0" fontId="9" fillId="2" borderId="21" xfId="0" applyFont="1" applyFill="1" applyBorder="1" applyAlignment="1">
      <alignment vertical="center"/>
    </xf>
    <xf numFmtId="0" fontId="9" fillId="2" borderId="22" xfId="0" applyFont="1" applyFill="1" applyBorder="1"/>
    <xf numFmtId="0" fontId="9" fillId="2" borderId="16" xfId="0" applyFont="1" applyFill="1" applyBorder="1" applyAlignment="1">
      <alignment vertical="center"/>
    </xf>
    <xf numFmtId="165" fontId="9" fillId="2" borderId="14" xfId="0" applyNumberFormat="1" applyFont="1" applyFill="1" applyBorder="1"/>
    <xf numFmtId="3" fontId="9" fillId="2" borderId="23" xfId="0" applyNumberFormat="1" applyFont="1" applyFill="1" applyBorder="1"/>
    <xf numFmtId="0" fontId="9" fillId="2" borderId="4" xfId="0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0" fontId="1" fillId="2" borderId="0" xfId="2" applyFont="1" applyFill="1"/>
    <xf numFmtId="165" fontId="0" fillId="2" borderId="0" xfId="0" applyNumberFormat="1" applyFont="1" applyFill="1"/>
    <xf numFmtId="0" fontId="30" fillId="2" borderId="0" xfId="0" applyFont="1" applyFill="1" applyAlignment="1">
      <alignment horizontal="right"/>
    </xf>
    <xf numFmtId="0" fontId="13" fillId="2" borderId="0" xfId="0" applyFont="1" applyFill="1" applyBorder="1" applyAlignment="1"/>
    <xf numFmtId="0" fontId="0" fillId="2" borderId="0" xfId="0" applyFill="1" applyBorder="1" applyAlignment="1">
      <alignment horizontal="right"/>
    </xf>
    <xf numFmtId="0" fontId="15" fillId="2" borderId="34" xfId="0" applyFont="1" applyFill="1" applyBorder="1"/>
    <xf numFmtId="0" fontId="0" fillId="2" borderId="33" xfId="0" applyFill="1" applyBorder="1"/>
    <xf numFmtId="49" fontId="6" fillId="2" borderId="30" xfId="2" applyNumberFormat="1" applyFont="1" applyFill="1" applyBorder="1" applyAlignment="1">
      <alignment horizontal="center"/>
    </xf>
    <xf numFmtId="49" fontId="6" fillId="2" borderId="4" xfId="2" applyNumberFormat="1" applyFont="1" applyFill="1" applyBorder="1" applyAlignment="1">
      <alignment horizontal="left"/>
    </xf>
    <xf numFmtId="0" fontId="6" fillId="2" borderId="18" xfId="2" applyFont="1" applyFill="1" applyBorder="1"/>
    <xf numFmtId="49" fontId="4" fillId="2" borderId="16" xfId="2" applyNumberFormat="1" applyFont="1" applyFill="1" applyBorder="1"/>
    <xf numFmtId="3" fontId="6" fillId="2" borderId="10" xfId="2" applyNumberFormat="1" applyFont="1" applyFill="1" applyBorder="1"/>
    <xf numFmtId="165" fontId="6" fillId="2" borderId="10" xfId="2" applyNumberFormat="1" applyFont="1" applyFill="1" applyBorder="1"/>
    <xf numFmtId="49" fontId="4" fillId="2" borderId="11" xfId="2" applyNumberFormat="1" applyFont="1" applyFill="1" applyBorder="1" applyAlignment="1">
      <alignment horizontal="left"/>
    </xf>
    <xf numFmtId="0" fontId="4" fillId="2" borderId="21" xfId="2" applyFont="1" applyFill="1" applyBorder="1" applyAlignment="1">
      <alignment horizontal="center"/>
    </xf>
    <xf numFmtId="0" fontId="3" fillId="2" borderId="16" xfId="2" applyFont="1" applyFill="1" applyBorder="1"/>
    <xf numFmtId="3" fontId="1" fillId="2" borderId="18" xfId="2" applyNumberFormat="1" applyFont="1" applyFill="1" applyBorder="1"/>
    <xf numFmtId="165" fontId="1" fillId="2" borderId="18" xfId="2" applyNumberFormat="1" applyFont="1" applyFill="1" applyBorder="1"/>
    <xf numFmtId="3" fontId="1" fillId="2" borderId="20" xfId="2" applyNumberFormat="1" applyFont="1" applyFill="1" applyBorder="1"/>
    <xf numFmtId="165" fontId="1" fillId="2" borderId="20" xfId="2" applyNumberFormat="1" applyFont="1" applyFill="1" applyBorder="1"/>
    <xf numFmtId="49" fontId="4" fillId="2" borderId="8" xfId="2" applyNumberFormat="1" applyFont="1" applyFill="1" applyBorder="1" applyAlignment="1">
      <alignment horizontal="left"/>
    </xf>
    <xf numFmtId="0" fontId="4" fillId="2" borderId="16" xfId="2" applyFont="1" applyFill="1" applyBorder="1" applyAlignment="1">
      <alignment horizontal="center"/>
    </xf>
    <xf numFmtId="0" fontId="3" fillId="2" borderId="10" xfId="2" applyFont="1" applyFill="1" applyBorder="1"/>
    <xf numFmtId="165" fontId="1" fillId="2" borderId="21" xfId="2" applyNumberFormat="1" applyFont="1" applyFill="1" applyBorder="1"/>
    <xf numFmtId="0" fontId="3" fillId="2" borderId="10" xfId="2" applyFont="1" applyFill="1" applyBorder="1" applyAlignment="1">
      <alignment wrapText="1"/>
    </xf>
    <xf numFmtId="0" fontId="4" fillId="2" borderId="17" xfId="2" applyFont="1" applyFill="1" applyBorder="1" applyAlignment="1">
      <alignment horizontal="center"/>
    </xf>
    <xf numFmtId="3" fontId="6" fillId="2" borderId="20" xfId="2" applyNumberFormat="1" applyFont="1" applyFill="1" applyBorder="1"/>
    <xf numFmtId="165" fontId="6" fillId="2" borderId="20" xfId="2" applyNumberFormat="1" applyFont="1" applyFill="1" applyBorder="1"/>
    <xf numFmtId="49" fontId="3" fillId="2" borderId="30" xfId="2" applyNumberFormat="1" applyFont="1" applyFill="1" applyBorder="1" applyAlignment="1">
      <alignment horizontal="center"/>
    </xf>
    <xf numFmtId="49" fontId="3" fillId="2" borderId="4" xfId="2" applyNumberFormat="1" applyFont="1" applyFill="1" applyBorder="1" applyAlignment="1">
      <alignment horizontal="left"/>
    </xf>
    <xf numFmtId="0" fontId="3" fillId="2" borderId="4" xfId="2" applyFont="1" applyFill="1" applyBorder="1" applyAlignment="1">
      <alignment horizontal="left"/>
    </xf>
    <xf numFmtId="0" fontId="3" fillId="2" borderId="4" xfId="2" applyFont="1" applyFill="1" applyBorder="1"/>
    <xf numFmtId="3" fontId="1" fillId="2" borderId="23" xfId="0" applyNumberFormat="1" applyFont="1" applyFill="1" applyBorder="1"/>
    <xf numFmtId="3" fontId="4" fillId="2" borderId="37" xfId="2" applyNumberFormat="1" applyFont="1" applyFill="1" applyBorder="1" applyAlignment="1">
      <alignment vertical="center"/>
    </xf>
    <xf numFmtId="165" fontId="4" fillId="2" borderId="37" xfId="2" applyNumberFormat="1" applyFont="1" applyFill="1" applyBorder="1" applyAlignment="1">
      <alignment vertical="center"/>
    </xf>
    <xf numFmtId="49" fontId="17" fillId="2" borderId="30" xfId="2" applyNumberFormat="1" applyFont="1" applyFill="1" applyBorder="1" applyAlignment="1">
      <alignment horizontal="center"/>
    </xf>
    <xf numFmtId="49" fontId="17" fillId="2" borderId="4" xfId="2" applyNumberFormat="1" applyFont="1" applyFill="1" applyBorder="1" applyAlignment="1">
      <alignment horizontal="left"/>
    </xf>
    <xf numFmtId="0" fontId="17" fillId="2" borderId="18" xfId="2" applyFont="1" applyFill="1" applyBorder="1"/>
    <xf numFmtId="49" fontId="17" fillId="2" borderId="4" xfId="2" applyNumberFormat="1" applyFont="1" applyFill="1" applyBorder="1"/>
    <xf numFmtId="3" fontId="17" fillId="2" borderId="18" xfId="2" applyNumberFormat="1" applyFont="1" applyFill="1" applyBorder="1" applyAlignment="1">
      <alignment horizontal="right"/>
    </xf>
    <xf numFmtId="165" fontId="17" fillId="2" borderId="18" xfId="2" applyNumberFormat="1" applyFont="1" applyFill="1" applyBorder="1" applyAlignment="1">
      <alignment horizontal="right"/>
    </xf>
    <xf numFmtId="4" fontId="17" fillId="2" borderId="18" xfId="0" applyNumberFormat="1" applyFont="1" applyFill="1" applyBorder="1"/>
    <xf numFmtId="4" fontId="17" fillId="2" borderId="5" xfId="0" applyNumberFormat="1" applyFont="1" applyFill="1" applyBorder="1"/>
    <xf numFmtId="49" fontId="17" fillId="2" borderId="11" xfId="2" applyNumberFormat="1" applyFont="1" applyFill="1" applyBorder="1" applyAlignment="1">
      <alignment horizontal="left"/>
    </xf>
    <xf numFmtId="0" fontId="17" fillId="2" borderId="21" xfId="2" applyFont="1" applyFill="1" applyBorder="1" applyAlignment="1">
      <alignment horizontal="center"/>
    </xf>
    <xf numFmtId="0" fontId="9" fillId="2" borderId="21" xfId="0" applyFont="1" applyFill="1" applyBorder="1" applyAlignment="1">
      <alignment vertical="center" wrapText="1"/>
    </xf>
    <xf numFmtId="4" fontId="9" fillId="2" borderId="21" xfId="0" applyNumberFormat="1" applyFont="1" applyFill="1" applyBorder="1" applyAlignment="1"/>
    <xf numFmtId="0" fontId="28" fillId="2" borderId="6" xfId="0" applyFont="1" applyFill="1" applyBorder="1"/>
    <xf numFmtId="0" fontId="28" fillId="2" borderId="7" xfId="0" applyFont="1" applyFill="1" applyBorder="1"/>
    <xf numFmtId="49" fontId="7" fillId="2" borderId="11" xfId="0" applyNumberFormat="1" applyFont="1" applyFill="1" applyBorder="1" applyAlignment="1">
      <alignment horizontal="center"/>
    </xf>
    <xf numFmtId="0" fontId="7" fillId="2" borderId="22" xfId="0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left"/>
    </xf>
    <xf numFmtId="0" fontId="9" fillId="2" borderId="14" xfId="2" applyFont="1" applyFill="1" applyBorder="1" applyAlignment="1">
      <alignment horizontal="left"/>
    </xf>
    <xf numFmtId="0" fontId="9" fillId="2" borderId="21" xfId="2" applyFont="1" applyFill="1" applyBorder="1" applyAlignment="1">
      <alignment horizontal="left"/>
    </xf>
    <xf numFmtId="0" fontId="7" fillId="2" borderId="14" xfId="2" applyFont="1" applyFill="1" applyBorder="1" applyAlignment="1">
      <alignment horizontal="left"/>
    </xf>
    <xf numFmtId="49" fontId="1" fillId="2" borderId="21" xfId="0" applyNumberFormat="1" applyFont="1" applyFill="1" applyBorder="1" applyAlignment="1">
      <alignment horizontal="left"/>
    </xf>
    <xf numFmtId="49" fontId="1" fillId="2" borderId="47" xfId="0" applyNumberFormat="1" applyFont="1" applyFill="1" applyBorder="1" applyAlignment="1">
      <alignment horizontal="center"/>
    </xf>
    <xf numFmtId="0" fontId="1" fillId="2" borderId="41" xfId="0" applyFont="1" applyFill="1" applyBorder="1"/>
    <xf numFmtId="4" fontId="1" fillId="2" borderId="39" xfId="0" applyNumberFormat="1" applyFont="1" applyFill="1" applyBorder="1"/>
    <xf numFmtId="4" fontId="1" fillId="2" borderId="65" xfId="0" applyNumberFormat="1" applyFont="1" applyFill="1" applyBorder="1"/>
    <xf numFmtId="49" fontId="6" fillId="2" borderId="11" xfId="0" applyNumberFormat="1" applyFont="1" applyFill="1" applyBorder="1" applyAlignment="1">
      <alignment horizontal="center"/>
    </xf>
    <xf numFmtId="0" fontId="6" fillId="2" borderId="21" xfId="0" applyFont="1" applyFill="1" applyBorder="1"/>
    <xf numFmtId="0" fontId="7" fillId="2" borderId="7" xfId="0" applyFont="1" applyFill="1" applyBorder="1"/>
    <xf numFmtId="4" fontId="7" fillId="2" borderId="65" xfId="0" applyNumberFormat="1" applyFont="1" applyFill="1" applyBorder="1"/>
    <xf numFmtId="49" fontId="7" fillId="2" borderId="8" xfId="0" applyNumberFormat="1" applyFont="1" applyFill="1" applyBorder="1" applyAlignment="1">
      <alignment horizontal="center"/>
    </xf>
    <xf numFmtId="0" fontId="7" fillId="2" borderId="17" xfId="0" applyFont="1" applyFill="1" applyBorder="1"/>
    <xf numFmtId="3" fontId="7" fillId="2" borderId="16" xfId="0" applyNumberFormat="1" applyFont="1" applyFill="1" applyBorder="1"/>
    <xf numFmtId="165" fontId="7" fillId="2" borderId="16" xfId="0" applyNumberFormat="1" applyFont="1" applyFill="1" applyBorder="1"/>
    <xf numFmtId="0" fontId="3" fillId="2" borderId="15" xfId="0" applyFont="1" applyFill="1" applyBorder="1"/>
    <xf numFmtId="0" fontId="3" fillId="2" borderId="14" xfId="0" applyFont="1" applyFill="1" applyBorder="1"/>
    <xf numFmtId="0" fontId="3" fillId="2" borderId="47" xfId="0" applyFont="1" applyFill="1" applyBorder="1"/>
    <xf numFmtId="0" fontId="3" fillId="2" borderId="40" xfId="0" applyFont="1" applyFill="1" applyBorder="1"/>
    <xf numFmtId="4" fontId="1" fillId="2" borderId="40" xfId="0" applyNumberFormat="1" applyFont="1" applyFill="1" applyBorder="1"/>
    <xf numFmtId="4" fontId="1" fillId="2" borderId="66" xfId="0" applyNumberFormat="1" applyFont="1" applyFill="1" applyBorder="1"/>
    <xf numFmtId="0" fontId="4" fillId="2" borderId="38" xfId="0" applyFont="1" applyFill="1" applyBorder="1" applyAlignment="1">
      <alignment vertical="center"/>
    </xf>
    <xf numFmtId="3" fontId="4" fillId="2" borderId="27" xfId="0" applyNumberFormat="1" applyFont="1" applyFill="1" applyBorder="1" applyAlignment="1">
      <alignment vertical="center"/>
    </xf>
    <xf numFmtId="165" fontId="4" fillId="2" borderId="27" xfId="0" applyNumberFormat="1" applyFont="1" applyFill="1" applyBorder="1" applyAlignment="1">
      <alignment vertical="center"/>
    </xf>
    <xf numFmtId="4" fontId="2" fillId="2" borderId="27" xfId="0" applyNumberFormat="1" applyFont="1" applyFill="1" applyBorder="1" applyAlignment="1">
      <alignment vertical="center"/>
    </xf>
    <xf numFmtId="4" fontId="17" fillId="2" borderId="21" xfId="0" applyNumberFormat="1" applyFont="1" applyFill="1" applyBorder="1"/>
    <xf numFmtId="3" fontId="9" fillId="2" borderId="16" xfId="0" applyNumberFormat="1" applyFont="1" applyFill="1" applyBorder="1" applyAlignment="1">
      <alignment horizontal="right"/>
    </xf>
    <xf numFmtId="0" fontId="1" fillId="2" borderId="17" xfId="0" applyFont="1" applyFill="1" applyBorder="1"/>
    <xf numFmtId="0" fontId="1" fillId="2" borderId="22" xfId="0" applyFont="1" applyFill="1" applyBorder="1"/>
    <xf numFmtId="49" fontId="1" fillId="2" borderId="20" xfId="0" applyNumberFormat="1" applyFont="1" applyFill="1" applyBorder="1" applyAlignment="1">
      <alignment horizontal="center"/>
    </xf>
    <xf numFmtId="3" fontId="1" fillId="2" borderId="16" xfId="0" applyNumberFormat="1" applyFont="1" applyFill="1" applyBorder="1"/>
    <xf numFmtId="49" fontId="1" fillId="2" borderId="20" xfId="0" applyNumberFormat="1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left"/>
    </xf>
    <xf numFmtId="49" fontId="1" fillId="2" borderId="43" xfId="0" applyNumberFormat="1" applyFont="1" applyFill="1" applyBorder="1" applyAlignment="1">
      <alignment horizontal="center"/>
    </xf>
    <xf numFmtId="0" fontId="1" fillId="2" borderId="40" xfId="0" applyFont="1" applyFill="1" applyBorder="1" applyAlignment="1">
      <alignment horizontal="left"/>
    </xf>
    <xf numFmtId="3" fontId="1" fillId="2" borderId="40" xfId="0" applyNumberFormat="1" applyFont="1" applyFill="1" applyBorder="1"/>
    <xf numFmtId="165" fontId="1" fillId="2" borderId="40" xfId="0" applyNumberFormat="1" applyFont="1" applyFill="1" applyBorder="1"/>
    <xf numFmtId="1" fontId="1" fillId="2" borderId="40" xfId="0" applyNumberFormat="1" applyFont="1" applyFill="1" applyBorder="1"/>
    <xf numFmtId="0" fontId="1" fillId="2" borderId="0" xfId="0" applyFont="1" applyFill="1" applyBorder="1" applyAlignment="1">
      <alignment horizontal="center"/>
    </xf>
    <xf numFmtId="0" fontId="9" fillId="2" borderId="0" xfId="0" applyFont="1" applyFill="1" applyBorder="1"/>
    <xf numFmtId="3" fontId="1" fillId="2" borderId="0" xfId="0" applyNumberFormat="1" applyFont="1" applyFill="1" applyBorder="1"/>
    <xf numFmtId="164" fontId="1" fillId="2" borderId="0" xfId="0" applyNumberFormat="1" applyFont="1" applyFill="1" applyBorder="1"/>
    <xf numFmtId="164" fontId="0" fillId="2" borderId="0" xfId="0" applyNumberFormat="1" applyFont="1" applyFill="1" applyAlignment="1">
      <alignment horizontal="right"/>
    </xf>
    <xf numFmtId="0" fontId="1" fillId="2" borderId="21" xfId="0" applyFont="1" applyFill="1" applyBorder="1" applyAlignment="1"/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left"/>
    </xf>
    <xf numFmtId="0" fontId="1" fillId="2" borderId="7" xfId="0" applyFont="1" applyFill="1" applyBorder="1"/>
    <xf numFmtId="3" fontId="7" fillId="2" borderId="7" xfId="0" applyNumberFormat="1" applyFont="1" applyFill="1" applyBorder="1"/>
    <xf numFmtId="165" fontId="7" fillId="2" borderId="7" xfId="0" applyNumberFormat="1" applyFont="1" applyFill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2" fontId="1" fillId="2" borderId="0" xfId="0" applyNumberFormat="1" applyFont="1" applyFill="1" applyBorder="1"/>
    <xf numFmtId="0" fontId="0" fillId="2" borderId="0" xfId="0" applyFont="1" applyFill="1" applyBorder="1"/>
    <xf numFmtId="3" fontId="3" fillId="2" borderId="21" xfId="0" applyNumberFormat="1" applyFont="1" applyFill="1" applyBorder="1"/>
    <xf numFmtId="165" fontId="3" fillId="2" borderId="21" xfId="0" applyNumberFormat="1" applyFont="1" applyFill="1" applyBorder="1"/>
    <xf numFmtId="1" fontId="1" fillId="2" borderId="21" xfId="0" applyNumberFormat="1" applyFont="1" applyFill="1" applyBorder="1"/>
    <xf numFmtId="0" fontId="3" fillId="2" borderId="21" xfId="0" applyFont="1" applyFill="1" applyBorder="1"/>
    <xf numFmtId="0" fontId="3" fillId="2" borderId="39" xfId="0" applyFont="1" applyFill="1" applyBorder="1"/>
    <xf numFmtId="0" fontId="1" fillId="2" borderId="56" xfId="0" applyFont="1" applyFill="1" applyBorder="1"/>
    <xf numFmtId="3" fontId="3" fillId="2" borderId="7" xfId="0" applyNumberFormat="1" applyFont="1" applyFill="1" applyBorder="1"/>
    <xf numFmtId="165" fontId="3" fillId="2" borderId="7" xfId="0" applyNumberFormat="1" applyFont="1" applyFill="1" applyBorder="1"/>
    <xf numFmtId="3" fontId="3" fillId="2" borderId="0" xfId="0" applyNumberFormat="1" applyFont="1" applyFill="1" applyBorder="1"/>
    <xf numFmtId="165" fontId="0" fillId="2" borderId="0" xfId="0" applyNumberFormat="1" applyFont="1" applyFill="1" applyBorder="1"/>
    <xf numFmtId="3" fontId="0" fillId="2" borderId="0" xfId="0" applyNumberFormat="1" applyFont="1" applyFill="1" applyBorder="1"/>
    <xf numFmtId="4" fontId="0" fillId="2" borderId="0" xfId="0" applyNumberFormat="1" applyFont="1" applyFill="1"/>
    <xf numFmtId="0" fontId="29" fillId="2" borderId="0" xfId="1" applyFont="1" applyFill="1" applyAlignment="1">
      <alignment horizontal="right"/>
    </xf>
    <xf numFmtId="0" fontId="4" fillId="2" borderId="45" xfId="1" applyFont="1" applyFill="1" applyBorder="1" applyAlignment="1"/>
    <xf numFmtId="0" fontId="1" fillId="2" borderId="10" xfId="1" applyFill="1" applyBorder="1" applyAlignment="1"/>
    <xf numFmtId="0" fontId="1" fillId="2" borderId="16" xfId="1" applyFill="1" applyBorder="1" applyAlignment="1"/>
    <xf numFmtId="0" fontId="23" fillId="2" borderId="16" xfId="0" applyFont="1" applyFill="1" applyBorder="1"/>
    <xf numFmtId="0" fontId="7" fillId="2" borderId="17" xfId="2" applyFont="1" applyFill="1" applyBorder="1"/>
    <xf numFmtId="3" fontId="24" fillId="2" borderId="21" xfId="2" applyNumberFormat="1" applyFont="1" applyFill="1" applyBorder="1"/>
    <xf numFmtId="4" fontId="25" fillId="2" borderId="21" xfId="0" applyNumberFormat="1" applyFont="1" applyFill="1" applyBorder="1"/>
    <xf numFmtId="4" fontId="25" fillId="2" borderId="57" xfId="0" applyNumberFormat="1" applyFont="1" applyFill="1" applyBorder="1"/>
    <xf numFmtId="49" fontId="3" fillId="2" borderId="16" xfId="2" applyNumberFormat="1" applyFont="1" applyFill="1" applyBorder="1" applyAlignment="1">
      <alignment horizontal="left"/>
    </xf>
    <xf numFmtId="0" fontId="3" fillId="2" borderId="10" xfId="2" applyFont="1" applyFill="1" applyBorder="1" applyAlignment="1">
      <alignment horizontal="left"/>
    </xf>
    <xf numFmtId="4" fontId="0" fillId="2" borderId="21" xfId="0" applyNumberFormat="1" applyFill="1" applyBorder="1"/>
    <xf numFmtId="4" fontId="0" fillId="2" borderId="57" xfId="0" applyNumberFormat="1" applyFill="1" applyBorder="1"/>
    <xf numFmtId="0" fontId="3" fillId="2" borderId="16" xfId="2" applyFont="1" applyFill="1" applyBorder="1" applyAlignment="1">
      <alignment horizontal="left"/>
    </xf>
    <xf numFmtId="0" fontId="19" fillId="2" borderId="17" xfId="2" applyFont="1" applyFill="1" applyBorder="1"/>
    <xf numFmtId="4" fontId="21" fillId="2" borderId="21" xfId="0" applyNumberFormat="1" applyFont="1" applyFill="1" applyBorder="1"/>
    <xf numFmtId="4" fontId="21" fillId="2" borderId="57" xfId="0" applyNumberFormat="1" applyFont="1" applyFill="1" applyBorder="1"/>
    <xf numFmtId="0" fontId="6" fillId="2" borderId="17" xfId="2" applyFont="1" applyFill="1" applyBorder="1"/>
    <xf numFmtId="0" fontId="3" fillId="2" borderId="20" xfId="2" applyFont="1" applyFill="1" applyBorder="1"/>
    <xf numFmtId="0" fontId="6" fillId="2" borderId="22" xfId="2" applyFont="1" applyFill="1" applyBorder="1"/>
    <xf numFmtId="0" fontId="1" fillId="2" borderId="0" xfId="2" applyFill="1" applyBorder="1"/>
    <xf numFmtId="49" fontId="20" fillId="2" borderId="21" xfId="2" applyNumberFormat="1" applyFont="1" applyFill="1" applyBorder="1" applyAlignment="1">
      <alignment horizontal="center"/>
    </xf>
    <xf numFmtId="4" fontId="2" fillId="2" borderId="62" xfId="2" applyNumberFormat="1" applyFont="1" applyFill="1" applyBorder="1" applyAlignment="1">
      <alignment vertical="center"/>
    </xf>
    <xf numFmtId="165" fontId="23" fillId="2" borderId="0" xfId="0" applyNumberFormat="1" applyFont="1" applyFill="1"/>
    <xf numFmtId="3" fontId="23" fillId="2" borderId="0" xfId="0" applyNumberFormat="1" applyFont="1" applyFill="1"/>
    <xf numFmtId="0" fontId="4" fillId="2" borderId="25" xfId="2" applyFont="1" applyFill="1" applyBorder="1" applyAlignment="1"/>
    <xf numFmtId="0" fontId="4" fillId="2" borderId="36" xfId="2" applyFont="1" applyFill="1" applyBorder="1" applyAlignment="1"/>
    <xf numFmtId="49" fontId="3" fillId="2" borderId="20" xfId="2" applyNumberFormat="1" applyFont="1" applyFill="1" applyBorder="1" applyAlignment="1">
      <alignment horizontal="center"/>
    </xf>
    <xf numFmtId="3" fontId="1" fillId="2" borderId="16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0" fontId="4" fillId="2" borderId="0" xfId="1" applyFont="1" applyFill="1" applyBorder="1" applyAlignment="1"/>
    <xf numFmtId="3" fontId="7" fillId="2" borderId="21" xfId="0" applyNumberFormat="1" applyFont="1" applyFill="1" applyBorder="1" applyAlignment="1">
      <alignment horizontal="right"/>
    </xf>
    <xf numFmtId="165" fontId="7" fillId="2" borderId="21" xfId="0" applyNumberFormat="1" applyFont="1" applyFill="1" applyBorder="1" applyAlignment="1">
      <alignment horizontal="right"/>
    </xf>
    <xf numFmtId="0" fontId="25" fillId="2" borderId="11" xfId="0" applyFont="1" applyFill="1" applyBorder="1"/>
    <xf numFmtId="0" fontId="25" fillId="2" borderId="21" xfId="0" applyFont="1" applyFill="1" applyBorder="1"/>
    <xf numFmtId="0" fontId="1" fillId="2" borderId="21" xfId="0" applyFont="1" applyFill="1" applyBorder="1" applyAlignment="1">
      <alignment vertical="center" wrapText="1"/>
    </xf>
    <xf numFmtId="3" fontId="1" fillId="2" borderId="21" xfId="0" applyNumberFormat="1" applyFont="1" applyFill="1" applyBorder="1" applyAlignment="1">
      <alignment horizontal="right" vertical="center"/>
    </xf>
    <xf numFmtId="165" fontId="1" fillId="2" borderId="21" xfId="0" applyNumberFormat="1" applyFont="1" applyFill="1" applyBorder="1" applyAlignment="1">
      <alignment horizontal="right" vertical="center"/>
    </xf>
    <xf numFmtId="3" fontId="1" fillId="2" borderId="21" xfId="0" applyNumberFormat="1" applyFont="1" applyFill="1" applyBorder="1" applyAlignment="1">
      <alignment horizontal="right"/>
    </xf>
    <xf numFmtId="0" fontId="25" fillId="2" borderId="3" xfId="0" applyFont="1" applyFill="1" applyBorder="1"/>
    <xf numFmtId="0" fontId="25" fillId="2" borderId="4" xfId="0" applyFont="1" applyFill="1" applyBorder="1"/>
    <xf numFmtId="0" fontId="1" fillId="2" borderId="4" xfId="0" applyFont="1" applyFill="1" applyBorder="1" applyAlignment="1">
      <alignment vertical="center" wrapText="1"/>
    </xf>
    <xf numFmtId="3" fontId="1" fillId="2" borderId="4" xfId="0" applyNumberFormat="1" applyFont="1" applyFill="1" applyBorder="1" applyAlignment="1">
      <alignment horizontal="right" vertical="center"/>
    </xf>
    <xf numFmtId="165" fontId="1" fillId="2" borderId="4" xfId="0" applyNumberFormat="1" applyFont="1" applyFill="1" applyBorder="1" applyAlignment="1">
      <alignment horizontal="right" vertical="center"/>
    </xf>
    <xf numFmtId="4" fontId="1" fillId="2" borderId="16" xfId="0" applyNumberFormat="1" applyFont="1" applyFill="1" applyBorder="1"/>
    <xf numFmtId="0" fontId="1" fillId="2" borderId="22" xfId="0" applyFont="1" applyFill="1" applyBorder="1" applyAlignment="1">
      <alignment horizontal="left" vertical="center" wrapText="1"/>
    </xf>
    <xf numFmtId="3" fontId="1" fillId="2" borderId="21" xfId="0" applyNumberFormat="1" applyFont="1" applyFill="1" applyBorder="1" applyAlignment="1">
      <alignment horizontal="right" vertical="center" wrapText="1"/>
    </xf>
    <xf numFmtId="165" fontId="1" fillId="2" borderId="21" xfId="0" applyNumberFormat="1" applyFont="1" applyFill="1" applyBorder="1" applyAlignment="1">
      <alignment horizontal="right" vertical="center" wrapText="1"/>
    </xf>
    <xf numFmtId="0" fontId="35" fillId="2" borderId="0" xfId="0" applyFont="1" applyFill="1"/>
    <xf numFmtId="0" fontId="1" fillId="2" borderId="22" xfId="0" applyFont="1" applyFill="1" applyBorder="1" applyAlignment="1">
      <alignment horizontal="left" wrapText="1"/>
    </xf>
    <xf numFmtId="3" fontId="1" fillId="2" borderId="21" xfId="0" applyNumberFormat="1" applyFont="1" applyFill="1" applyBorder="1" applyAlignment="1">
      <alignment horizontal="right" wrapText="1"/>
    </xf>
    <xf numFmtId="165" fontId="1" fillId="2" borderId="21" xfId="0" applyNumberFormat="1" applyFont="1" applyFill="1" applyBorder="1" applyAlignment="1">
      <alignment horizontal="right" wrapText="1"/>
    </xf>
    <xf numFmtId="4" fontId="1" fillId="2" borderId="21" xfId="0" applyNumberFormat="1" applyFont="1" applyFill="1" applyBorder="1" applyAlignment="1"/>
    <xf numFmtId="4" fontId="1" fillId="2" borderId="57" xfId="0" applyNumberFormat="1" applyFont="1" applyFill="1" applyBorder="1" applyAlignment="1"/>
    <xf numFmtId="0" fontId="1" fillId="2" borderId="19" xfId="0" applyFont="1" applyFill="1" applyBorder="1" applyAlignment="1">
      <alignment horizontal="left" vertical="center" wrapText="1"/>
    </xf>
    <xf numFmtId="3" fontId="1" fillId="2" borderId="20" xfId="0" applyNumberFormat="1" applyFont="1" applyFill="1" applyBorder="1" applyAlignment="1">
      <alignment horizontal="right" vertical="center" wrapText="1"/>
    </xf>
    <xf numFmtId="165" fontId="1" fillId="2" borderId="20" xfId="0" applyNumberFormat="1" applyFont="1" applyFill="1" applyBorder="1" applyAlignment="1">
      <alignment horizontal="right" vertical="center" wrapText="1"/>
    </xf>
    <xf numFmtId="3" fontId="1" fillId="2" borderId="2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center" wrapText="1"/>
    </xf>
    <xf numFmtId="3" fontId="1" fillId="2" borderId="18" xfId="0" applyNumberFormat="1" applyFont="1" applyFill="1" applyBorder="1" applyAlignment="1">
      <alignment horizontal="right" vertical="center" wrapText="1"/>
    </xf>
    <xf numFmtId="165" fontId="1" fillId="2" borderId="18" xfId="0" applyNumberFormat="1" applyFont="1" applyFill="1" applyBorder="1" applyAlignment="1">
      <alignment horizontal="right" vertical="center" wrapText="1"/>
    </xf>
    <xf numFmtId="3" fontId="1" fillId="2" borderId="18" xfId="0" applyNumberFormat="1" applyFont="1" applyFill="1" applyBorder="1" applyAlignment="1">
      <alignment horizontal="right"/>
    </xf>
    <xf numFmtId="49" fontId="36" fillId="2" borderId="11" xfId="2" applyNumberFormat="1" applyFont="1" applyFill="1" applyBorder="1" applyAlignment="1">
      <alignment horizontal="center"/>
    </xf>
    <xf numFmtId="49" fontId="36" fillId="2" borderId="21" xfId="2" applyNumberFormat="1" applyFont="1" applyFill="1" applyBorder="1" applyAlignment="1">
      <alignment horizontal="left"/>
    </xf>
    <xf numFmtId="3" fontId="36" fillId="2" borderId="21" xfId="2" applyNumberFormat="1" applyFont="1" applyFill="1" applyBorder="1" applyAlignment="1">
      <alignment horizontal="right"/>
    </xf>
    <xf numFmtId="165" fontId="36" fillId="2" borderId="21" xfId="2" applyNumberFormat="1" applyFont="1" applyFill="1" applyBorder="1" applyAlignment="1">
      <alignment horizontal="right"/>
    </xf>
    <xf numFmtId="4" fontId="36" fillId="2" borderId="21" xfId="2" applyNumberFormat="1" applyFont="1" applyFill="1" applyBorder="1"/>
    <xf numFmtId="4" fontId="36" fillId="2" borderId="57" xfId="0" applyNumberFormat="1" applyFont="1" applyFill="1" applyBorder="1"/>
    <xf numFmtId="0" fontId="37" fillId="2" borderId="11" xfId="0" applyFont="1" applyFill="1" applyBorder="1"/>
    <xf numFmtId="0" fontId="37" fillId="2" borderId="21" xfId="0" applyFont="1" applyFill="1" applyBorder="1"/>
    <xf numFmtId="0" fontId="38" fillId="2" borderId="21" xfId="0" applyFont="1" applyFill="1" applyBorder="1" applyAlignment="1">
      <alignment horizontal="justify" vertical="center" wrapText="1"/>
    </xf>
    <xf numFmtId="0" fontId="38" fillId="2" borderId="22" xfId="2" applyFont="1" applyFill="1" applyBorder="1"/>
    <xf numFmtId="3" fontId="38" fillId="2" borderId="21" xfId="0" applyNumberFormat="1" applyFont="1" applyFill="1" applyBorder="1" applyAlignment="1">
      <alignment horizontal="right" vertical="center" wrapText="1"/>
    </xf>
    <xf numFmtId="165" fontId="38" fillId="2" borderId="21" xfId="0" applyNumberFormat="1" applyFont="1" applyFill="1" applyBorder="1" applyAlignment="1">
      <alignment horizontal="right" vertical="center" wrapText="1"/>
    </xf>
    <xf numFmtId="3" fontId="38" fillId="2" borderId="21" xfId="2" applyNumberFormat="1" applyFont="1" applyFill="1" applyBorder="1" applyAlignment="1">
      <alignment horizontal="right"/>
    </xf>
    <xf numFmtId="4" fontId="38" fillId="2" borderId="21" xfId="2" applyNumberFormat="1" applyFont="1" applyFill="1" applyBorder="1"/>
    <xf numFmtId="4" fontId="38" fillId="2" borderId="57" xfId="0" applyNumberFormat="1" applyFont="1" applyFill="1" applyBorder="1"/>
    <xf numFmtId="49" fontId="38" fillId="2" borderId="11" xfId="2" applyNumberFormat="1" applyFont="1" applyFill="1" applyBorder="1" applyAlignment="1">
      <alignment horizontal="center"/>
    </xf>
    <xf numFmtId="49" fontId="38" fillId="2" borderId="21" xfId="2" applyNumberFormat="1" applyFont="1" applyFill="1" applyBorder="1" applyAlignment="1">
      <alignment horizontal="center"/>
    </xf>
    <xf numFmtId="0" fontId="38" fillId="2" borderId="21" xfId="0" applyFont="1" applyFill="1" applyBorder="1" applyAlignment="1">
      <alignment wrapText="1"/>
    </xf>
    <xf numFmtId="0" fontId="38" fillId="2" borderId="22" xfId="2" applyFont="1" applyFill="1" applyBorder="1" applyAlignment="1"/>
    <xf numFmtId="3" fontId="38" fillId="2" borderId="21" xfId="0" applyNumberFormat="1" applyFont="1" applyFill="1" applyBorder="1" applyAlignment="1">
      <alignment horizontal="right"/>
    </xf>
    <xf numFmtId="165" fontId="38" fillId="2" borderId="21" xfId="0" applyNumberFormat="1" applyFont="1" applyFill="1" applyBorder="1" applyAlignment="1">
      <alignment horizontal="right"/>
    </xf>
    <xf numFmtId="4" fontId="38" fillId="2" borderId="21" xfId="2" applyNumberFormat="1" applyFont="1" applyFill="1" applyBorder="1" applyAlignment="1"/>
    <xf numFmtId="4" fontId="38" fillId="2" borderId="57" xfId="0" applyNumberFormat="1" applyFont="1" applyFill="1" applyBorder="1" applyAlignment="1"/>
    <xf numFmtId="0" fontId="37" fillId="2" borderId="11" xfId="0" applyFont="1" applyFill="1" applyBorder="1" applyAlignment="1"/>
    <xf numFmtId="0" fontId="37" fillId="2" borderId="21" xfId="0" applyFont="1" applyFill="1" applyBorder="1" applyAlignment="1"/>
    <xf numFmtId="0" fontId="25" fillId="2" borderId="21" xfId="0" applyFont="1" applyFill="1" applyBorder="1" applyAlignment="1"/>
    <xf numFmtId="165" fontId="1" fillId="2" borderId="21" xfId="0" applyNumberFormat="1" applyFont="1" applyFill="1" applyBorder="1" applyAlignment="1">
      <alignment horizontal="right"/>
    </xf>
    <xf numFmtId="3" fontId="1" fillId="2" borderId="21" xfId="2" applyNumberFormat="1" applyFont="1" applyFill="1" applyBorder="1" applyAlignment="1">
      <alignment horizontal="right"/>
    </xf>
    <xf numFmtId="4" fontId="1" fillId="2" borderId="21" xfId="2" applyNumberFormat="1" applyFont="1" applyFill="1" applyBorder="1" applyAlignment="1"/>
    <xf numFmtId="0" fontId="1" fillId="2" borderId="21" xfId="0" applyFont="1" applyFill="1" applyBorder="1" applyAlignment="1">
      <alignment horizontal="justify" vertical="center" wrapText="1"/>
    </xf>
    <xf numFmtId="0" fontId="12" fillId="2" borderId="21" xfId="2" applyNumberFormat="1" applyFont="1" applyFill="1" applyBorder="1" applyAlignment="1">
      <alignment horizontal="left"/>
    </xf>
    <xf numFmtId="0" fontId="4" fillId="2" borderId="36" xfId="2" applyFont="1" applyFill="1" applyBorder="1"/>
    <xf numFmtId="4" fontId="13" fillId="2" borderId="27" xfId="0" applyNumberFormat="1" applyFont="1" applyFill="1" applyBorder="1"/>
    <xf numFmtId="4" fontId="13" fillId="2" borderId="62" xfId="0" applyNumberFormat="1" applyFont="1" applyFill="1" applyBorder="1"/>
    <xf numFmtId="0" fontId="0" fillId="2" borderId="30" xfId="0" applyFill="1" applyBorder="1"/>
    <xf numFmtId="165" fontId="0" fillId="2" borderId="0" xfId="0" applyNumberFormat="1" applyFill="1" applyBorder="1"/>
    <xf numFmtId="3" fontId="0" fillId="2" borderId="0" xfId="0" applyNumberFormat="1" applyFill="1" applyBorder="1"/>
    <xf numFmtId="4" fontId="0" fillId="2" borderId="0" xfId="0" applyNumberFormat="1" applyFill="1" applyBorder="1"/>
    <xf numFmtId="4" fontId="0" fillId="2" borderId="50" xfId="0" applyNumberFormat="1" applyFill="1" applyBorder="1"/>
    <xf numFmtId="3" fontId="3" fillId="2" borderId="16" xfId="2" applyNumberFormat="1" applyFont="1" applyFill="1" applyBorder="1"/>
    <xf numFmtId="3" fontId="3" fillId="2" borderId="21" xfId="2" applyNumberFormat="1" applyFont="1" applyFill="1" applyBorder="1"/>
    <xf numFmtId="3" fontId="3" fillId="2" borderId="34" xfId="2" applyNumberFormat="1" applyFont="1" applyFill="1" applyBorder="1"/>
    <xf numFmtId="3" fontId="7" fillId="2" borderId="16" xfId="2" applyNumberFormat="1" applyFont="1" applyFill="1" applyBorder="1"/>
    <xf numFmtId="3" fontId="19" fillId="2" borderId="21" xfId="0" applyNumberFormat="1" applyFont="1" applyFill="1" applyBorder="1" applyAlignment="1">
      <alignment horizontal="right"/>
    </xf>
    <xf numFmtId="3" fontId="12" fillId="2" borderId="4" xfId="0" applyNumberFormat="1" applyFont="1" applyFill="1" applyBorder="1" applyAlignment="1">
      <alignment horizontal="right"/>
    </xf>
    <xf numFmtId="0" fontId="9" fillId="2" borderId="14" xfId="0" applyFont="1" applyFill="1" applyBorder="1" applyAlignment="1"/>
    <xf numFmtId="3" fontId="17" fillId="2" borderId="4" xfId="0" applyNumberFormat="1" applyFont="1" applyFill="1" applyBorder="1" applyAlignment="1"/>
    <xf numFmtId="3" fontId="12" fillId="2" borderId="16" xfId="0" applyNumberFormat="1" applyFont="1" applyFill="1" applyBorder="1" applyAlignment="1"/>
    <xf numFmtId="0" fontId="9" fillId="2" borderId="21" xfId="0" applyFont="1" applyFill="1" applyBorder="1" applyAlignment="1"/>
    <xf numFmtId="3" fontId="17" fillId="2" borderId="21" xfId="2" applyNumberFormat="1" applyFont="1" applyFill="1" applyBorder="1" applyAlignment="1"/>
    <xf numFmtId="0" fontId="9" fillId="2" borderId="21" xfId="0" applyFont="1" applyFill="1" applyBorder="1" applyAlignment="1">
      <alignment horizontal="right"/>
    </xf>
    <xf numFmtId="0" fontId="9" fillId="2" borderId="40" xfId="0" applyFont="1" applyFill="1" applyBorder="1" applyAlignment="1">
      <alignment horizontal="right"/>
    </xf>
    <xf numFmtId="0" fontId="17" fillId="2" borderId="16" xfId="0" applyFont="1" applyFill="1" applyBorder="1" applyAlignment="1">
      <alignment horizontal="right"/>
    </xf>
    <xf numFmtId="0" fontId="17" fillId="2" borderId="21" xfId="0" applyFont="1" applyFill="1" applyBorder="1" applyAlignment="1">
      <alignment horizontal="right"/>
    </xf>
    <xf numFmtId="3" fontId="4" fillId="2" borderId="7" xfId="2" applyNumberFormat="1" applyFont="1" applyFill="1" applyBorder="1"/>
    <xf numFmtId="3" fontId="28" fillId="2" borderId="21" xfId="0" applyNumberFormat="1" applyFont="1" applyFill="1" applyBorder="1" applyAlignment="1">
      <alignment horizontal="right" wrapText="1"/>
    </xf>
    <xf numFmtId="3" fontId="9" fillId="2" borderId="40" xfId="0" applyNumberFormat="1" applyFont="1" applyFill="1" applyBorder="1" applyAlignment="1">
      <alignment horizontal="right" vertical="center" wrapText="1"/>
    </xf>
    <xf numFmtId="165" fontId="4" fillId="2" borderId="7" xfId="2" applyNumberFormat="1" applyFont="1" applyFill="1" applyBorder="1"/>
    <xf numFmtId="49" fontId="6" fillId="2" borderId="16" xfId="2" applyNumberFormat="1" applyFont="1" applyFill="1" applyBorder="1" applyAlignment="1">
      <alignment horizontal="left"/>
    </xf>
    <xf numFmtId="49" fontId="6" fillId="2" borderId="21" xfId="2" applyNumberFormat="1" applyFont="1" applyFill="1" applyBorder="1"/>
    <xf numFmtId="0" fontId="6" fillId="2" borderId="12" xfId="2" applyFont="1" applyFill="1" applyBorder="1" applyAlignment="1">
      <alignment horizontal="left"/>
    </xf>
    <xf numFmtId="0" fontId="7" fillId="2" borderId="21" xfId="2" applyFont="1" applyFill="1" applyBorder="1"/>
    <xf numFmtId="0" fontId="3" fillId="2" borderId="22" xfId="2" applyNumberFormat="1" applyFont="1" applyFill="1" applyBorder="1" applyAlignment="1">
      <alignment horizontal="left" shrinkToFit="1"/>
    </xf>
    <xf numFmtId="165" fontId="3" fillId="2" borderId="16" xfId="2" applyNumberFormat="1" applyFont="1" applyFill="1" applyBorder="1"/>
    <xf numFmtId="0" fontId="19" fillId="2" borderId="22" xfId="2" applyNumberFormat="1" applyFont="1" applyFill="1" applyBorder="1" applyAlignment="1">
      <alignment horizontal="left"/>
    </xf>
    <xf numFmtId="3" fontId="19" fillId="2" borderId="19" xfId="0" applyNumberFormat="1" applyFont="1" applyFill="1" applyBorder="1"/>
    <xf numFmtId="0" fontId="3" fillId="2" borderId="22" xfId="2" applyNumberFormat="1" applyFont="1" applyFill="1" applyBorder="1" applyAlignment="1">
      <alignment horizontal="left"/>
    </xf>
    <xf numFmtId="165" fontId="3" fillId="2" borderId="21" xfId="2" applyNumberFormat="1" applyFont="1" applyFill="1" applyBorder="1"/>
    <xf numFmtId="49" fontId="3" fillId="2" borderId="22" xfId="2" applyNumberFormat="1" applyFont="1" applyFill="1" applyBorder="1" applyAlignment="1">
      <alignment horizontal="left"/>
    </xf>
    <xf numFmtId="0" fontId="3" fillId="2" borderId="8" xfId="2" applyFont="1" applyFill="1" applyBorder="1" applyAlignment="1">
      <alignment horizontal="center"/>
    </xf>
    <xf numFmtId="49" fontId="9" fillId="2" borderId="10" xfId="2" applyNumberFormat="1" applyFont="1" applyFill="1" applyBorder="1" applyAlignment="1" applyProtection="1">
      <alignment horizontal="center"/>
      <protection locked="0"/>
    </xf>
    <xf numFmtId="0" fontId="12" fillId="2" borderId="16" xfId="2" applyFont="1" applyFill="1" applyBorder="1" applyAlignment="1"/>
    <xf numFmtId="49" fontId="3" fillId="2" borderId="47" xfId="2" applyNumberFormat="1" applyFont="1" applyFill="1" applyBorder="1" applyAlignment="1">
      <alignment horizontal="center"/>
    </xf>
    <xf numFmtId="49" fontId="3" fillId="2" borderId="43" xfId="2" applyNumberFormat="1" applyFont="1" applyFill="1" applyBorder="1" applyAlignment="1">
      <alignment horizontal="center"/>
    </xf>
    <xf numFmtId="0" fontId="19" fillId="2" borderId="41" xfId="2" applyNumberFormat="1" applyFont="1" applyFill="1" applyBorder="1" applyAlignment="1">
      <alignment horizontal="left"/>
    </xf>
    <xf numFmtId="49" fontId="3" fillId="2" borderId="10" xfId="2" applyNumberFormat="1" applyFont="1" applyFill="1" applyBorder="1" applyAlignment="1">
      <alignment horizontal="center"/>
    </xf>
    <xf numFmtId="0" fontId="3" fillId="2" borderId="17" xfId="2" applyNumberFormat="1" applyFont="1" applyFill="1" applyBorder="1" applyAlignment="1">
      <alignment horizontal="left"/>
    </xf>
    <xf numFmtId="165" fontId="3" fillId="2" borderId="34" xfId="2" applyNumberFormat="1" applyFont="1" applyFill="1" applyBorder="1"/>
    <xf numFmtId="3" fontId="28" fillId="2" borderId="60" xfId="0" applyNumberFormat="1" applyFont="1" applyFill="1" applyBorder="1"/>
    <xf numFmtId="4" fontId="1" fillId="2" borderId="2" xfId="2" applyNumberFormat="1" applyFont="1" applyFill="1" applyBorder="1"/>
    <xf numFmtId="4" fontId="1" fillId="2" borderId="49" xfId="0" applyNumberFormat="1" applyFont="1" applyFill="1" applyBorder="1"/>
    <xf numFmtId="0" fontId="19" fillId="2" borderId="21" xfId="2" applyNumberFormat="1" applyFont="1" applyFill="1" applyBorder="1" applyAlignment="1">
      <alignment horizontal="left"/>
    </xf>
    <xf numFmtId="0" fontId="3" fillId="2" borderId="10" xfId="2" applyFont="1" applyFill="1" applyBorder="1" applyAlignment="1" applyProtection="1">
      <alignment horizontal="center"/>
      <protection locked="0"/>
    </xf>
    <xf numFmtId="0" fontId="6" fillId="2" borderId="16" xfId="2" applyFont="1" applyFill="1" applyBorder="1" applyAlignment="1">
      <alignment horizontal="left"/>
    </xf>
    <xf numFmtId="0" fontId="18" fillId="2" borderId="10" xfId="2" applyFont="1" applyFill="1" applyBorder="1"/>
    <xf numFmtId="165" fontId="7" fillId="2" borderId="16" xfId="2" applyNumberFormat="1" applyFont="1" applyFill="1" applyBorder="1"/>
    <xf numFmtId="4" fontId="7" fillId="2" borderId="51" xfId="0" applyNumberFormat="1" applyFont="1" applyFill="1" applyBorder="1"/>
    <xf numFmtId="0" fontId="3" fillId="2" borderId="11" xfId="2" applyFont="1" applyFill="1" applyBorder="1" applyAlignment="1">
      <alignment horizontal="center"/>
    </xf>
    <xf numFmtId="49" fontId="3" fillId="2" borderId="20" xfId="2" applyNumberFormat="1" applyFont="1" applyFill="1" applyBorder="1" applyAlignment="1" applyProtection="1">
      <alignment horizontal="center"/>
      <protection locked="0"/>
    </xf>
    <xf numFmtId="0" fontId="3" fillId="2" borderId="21" xfId="2" applyNumberFormat="1" applyFont="1" applyFill="1" applyBorder="1" applyAlignment="1">
      <alignment horizontal="left"/>
    </xf>
    <xf numFmtId="0" fontId="3" fillId="2" borderId="19" xfId="2" applyFont="1" applyFill="1" applyBorder="1"/>
    <xf numFmtId="0" fontId="11" fillId="2" borderId="21" xfId="2" applyNumberFormat="1" applyFont="1" applyFill="1" applyBorder="1" applyAlignment="1">
      <alignment horizontal="left"/>
    </xf>
    <xf numFmtId="0" fontId="11" fillId="2" borderId="19" xfId="2" applyFont="1" applyFill="1" applyBorder="1"/>
    <xf numFmtId="165" fontId="19" fillId="2" borderId="21" xfId="0" applyNumberFormat="1" applyFont="1" applyFill="1" applyBorder="1" applyAlignment="1">
      <alignment horizontal="right"/>
    </xf>
    <xf numFmtId="0" fontId="19" fillId="2" borderId="11" xfId="2" applyFont="1" applyFill="1" applyBorder="1" applyAlignment="1">
      <alignment horizontal="center"/>
    </xf>
    <xf numFmtId="49" fontId="19" fillId="2" borderId="20" xfId="2" applyNumberFormat="1" applyFont="1" applyFill="1" applyBorder="1" applyAlignment="1" applyProtection="1">
      <alignment horizontal="center"/>
      <protection locked="0"/>
    </xf>
    <xf numFmtId="0" fontId="19" fillId="2" borderId="19" xfId="2" applyFont="1" applyFill="1" applyBorder="1"/>
    <xf numFmtId="0" fontId="3" fillId="2" borderId="47" xfId="2" applyFont="1" applyFill="1" applyBorder="1" applyAlignment="1">
      <alignment horizontal="center"/>
    </xf>
    <xf numFmtId="49" fontId="3" fillId="2" borderId="43" xfId="2" applyNumberFormat="1" applyFont="1" applyFill="1" applyBorder="1" applyAlignment="1" applyProtection="1">
      <alignment horizontal="center"/>
      <protection locked="0"/>
    </xf>
    <xf numFmtId="0" fontId="3" fillId="2" borderId="54" xfId="2" applyFont="1" applyFill="1" applyBorder="1"/>
    <xf numFmtId="49" fontId="3" fillId="2" borderId="10" xfId="2" applyNumberFormat="1" applyFont="1" applyFill="1" applyBorder="1" applyAlignment="1" applyProtection="1">
      <alignment horizontal="center"/>
      <protection locked="0"/>
    </xf>
    <xf numFmtId="0" fontId="3" fillId="2" borderId="16" xfId="2" applyNumberFormat="1" applyFont="1" applyFill="1" applyBorder="1" applyAlignment="1">
      <alignment horizontal="left"/>
    </xf>
    <xf numFmtId="0" fontId="3" fillId="2" borderId="9" xfId="2" applyFont="1" applyFill="1" applyBorder="1"/>
    <xf numFmtId="165" fontId="1" fillId="2" borderId="34" xfId="0" applyNumberFormat="1" applyFont="1" applyFill="1" applyBorder="1" applyAlignment="1">
      <alignment horizontal="right"/>
    </xf>
    <xf numFmtId="3" fontId="9" fillId="2" borderId="19" xfId="0" applyNumberFormat="1" applyFont="1" applyFill="1" applyBorder="1"/>
    <xf numFmtId="0" fontId="7" fillId="2" borderId="3" xfId="2" applyFont="1" applyFill="1" applyBorder="1" applyAlignment="1">
      <alignment horizontal="center"/>
    </xf>
    <xf numFmtId="49" fontId="17" fillId="2" borderId="18" xfId="2" applyNumberFormat="1" applyFont="1" applyFill="1" applyBorder="1" applyAlignment="1" applyProtection="1">
      <alignment horizontal="center"/>
      <protection locked="0"/>
    </xf>
    <xf numFmtId="0" fontId="17" fillId="2" borderId="0" xfId="2" applyFont="1" applyFill="1" applyBorder="1" applyAlignment="1"/>
    <xf numFmtId="0" fontId="17" fillId="2" borderId="24" xfId="2" applyNumberFormat="1" applyFont="1" applyFill="1" applyBorder="1" applyAlignment="1">
      <alignment horizontal="left"/>
    </xf>
    <xf numFmtId="0" fontId="12" fillId="2" borderId="4" xfId="2" applyFont="1" applyFill="1" applyBorder="1" applyAlignment="1"/>
    <xf numFmtId="165" fontId="12" fillId="2" borderId="4" xfId="0" applyNumberFormat="1" applyFont="1" applyFill="1" applyBorder="1" applyAlignment="1">
      <alignment horizontal="right"/>
    </xf>
    <xf numFmtId="4" fontId="12" fillId="2" borderId="4" xfId="0" applyNumberFormat="1" applyFont="1" applyFill="1" applyBorder="1" applyAlignment="1">
      <alignment horizontal="right"/>
    </xf>
    <xf numFmtId="4" fontId="12" fillId="2" borderId="5" xfId="0" applyNumberFormat="1" applyFont="1" applyFill="1" applyBorder="1" applyAlignment="1">
      <alignment horizontal="right"/>
    </xf>
    <xf numFmtId="0" fontId="17" fillId="2" borderId="4" xfId="2" applyFont="1" applyFill="1" applyBorder="1" applyAlignment="1"/>
    <xf numFmtId="0" fontId="7" fillId="2" borderId="8" xfId="2" applyFont="1" applyFill="1" applyBorder="1" applyAlignment="1">
      <alignment horizontal="center"/>
    </xf>
    <xf numFmtId="49" fontId="17" fillId="2" borderId="10" xfId="2" applyNumberFormat="1" applyFont="1" applyFill="1" applyBorder="1" applyAlignment="1" applyProtection="1">
      <alignment horizontal="center"/>
      <protection locked="0"/>
    </xf>
    <xf numFmtId="0" fontId="17" fillId="2" borderId="16" xfId="2" applyFont="1" applyFill="1" applyBorder="1" applyAlignment="1"/>
    <xf numFmtId="0" fontId="12" fillId="2" borderId="9" xfId="2" applyFont="1" applyFill="1" applyBorder="1" applyAlignment="1"/>
    <xf numFmtId="49" fontId="7" fillId="2" borderId="15" xfId="2" applyNumberFormat="1" applyFont="1" applyFill="1" applyBorder="1" applyAlignment="1">
      <alignment horizontal="center"/>
    </xf>
    <xf numFmtId="49" fontId="17" fillId="2" borderId="23" xfId="2" applyNumberFormat="1" applyFont="1" applyFill="1" applyBorder="1" applyAlignment="1" applyProtection="1">
      <alignment horizontal="center"/>
      <protection locked="0"/>
    </xf>
    <xf numFmtId="49" fontId="17" fillId="2" borderId="14" xfId="2" applyNumberFormat="1" applyFont="1" applyFill="1" applyBorder="1" applyAlignment="1">
      <alignment horizontal="left"/>
    </xf>
    <xf numFmtId="0" fontId="17" fillId="2" borderId="14" xfId="2" applyFont="1" applyFill="1" applyBorder="1" applyAlignment="1"/>
    <xf numFmtId="165" fontId="9" fillId="2" borderId="14" xfId="0" applyNumberFormat="1" applyFont="1" applyFill="1" applyBorder="1" applyAlignment="1"/>
    <xf numFmtId="3" fontId="9" fillId="2" borderId="14" xfId="0" applyNumberFormat="1" applyFont="1" applyFill="1" applyBorder="1" applyAlignment="1"/>
    <xf numFmtId="4" fontId="9" fillId="2" borderId="14" xfId="0" applyNumberFormat="1" applyFont="1" applyFill="1" applyBorder="1" applyAlignment="1"/>
    <xf numFmtId="4" fontId="9" fillId="2" borderId="35" xfId="0" applyNumberFormat="1" applyFont="1" applyFill="1" applyBorder="1" applyAlignment="1"/>
    <xf numFmtId="49" fontId="7" fillId="2" borderId="3" xfId="2" applyNumberFormat="1" applyFont="1" applyFill="1" applyBorder="1" applyAlignment="1">
      <alignment horizontal="center"/>
    </xf>
    <xf numFmtId="0" fontId="17" fillId="2" borderId="4" xfId="2" applyFont="1" applyFill="1" applyBorder="1" applyAlignment="1">
      <alignment horizontal="left"/>
    </xf>
    <xf numFmtId="165" fontId="17" fillId="2" borderId="4" xfId="0" applyNumberFormat="1" applyFont="1" applyFill="1" applyBorder="1" applyAlignment="1"/>
    <xf numFmtId="4" fontId="17" fillId="2" borderId="4" xfId="0" applyNumberFormat="1" applyFont="1" applyFill="1" applyBorder="1" applyAlignment="1"/>
    <xf numFmtId="4" fontId="17" fillId="2" borderId="5" xfId="0" applyNumberFormat="1" applyFont="1" applyFill="1" applyBorder="1" applyAlignment="1"/>
    <xf numFmtId="0" fontId="9" fillId="2" borderId="16" xfId="2" applyFont="1" applyFill="1" applyBorder="1" applyAlignment="1">
      <alignment horizontal="left"/>
    </xf>
    <xf numFmtId="165" fontId="12" fillId="2" borderId="16" xfId="0" applyNumberFormat="1" applyFont="1" applyFill="1" applyBorder="1" applyAlignment="1"/>
    <xf numFmtId="49" fontId="9" fillId="2" borderId="14" xfId="2" applyNumberFormat="1" applyFont="1" applyFill="1" applyBorder="1" applyAlignment="1" applyProtection="1">
      <alignment horizontal="center"/>
      <protection locked="0"/>
    </xf>
    <xf numFmtId="0" fontId="9" fillId="2" borderId="4" xfId="2" applyFont="1" applyFill="1" applyBorder="1" applyAlignment="1">
      <alignment horizontal="left"/>
    </xf>
    <xf numFmtId="0" fontId="12" fillId="2" borderId="0" xfId="2" applyFont="1" applyFill="1" applyBorder="1" applyAlignment="1"/>
    <xf numFmtId="165" fontId="1" fillId="2" borderId="19" xfId="0" applyNumberFormat="1" applyFont="1" applyFill="1" applyBorder="1" applyAlignment="1"/>
    <xf numFmtId="3" fontId="1" fillId="2" borderId="21" xfId="0" applyNumberFormat="1" applyFont="1" applyFill="1" applyBorder="1" applyAlignment="1"/>
    <xf numFmtId="49" fontId="6" fillId="2" borderId="44" xfId="2" applyNumberFormat="1" applyFont="1" applyFill="1" applyBorder="1" applyAlignment="1">
      <alignment horizontal="center"/>
    </xf>
    <xf numFmtId="0" fontId="12" fillId="2" borderId="20" xfId="2" applyFont="1" applyFill="1" applyBorder="1" applyAlignment="1"/>
    <xf numFmtId="165" fontId="17" fillId="2" borderId="21" xfId="2" applyNumberFormat="1" applyFont="1" applyFill="1" applyBorder="1" applyAlignment="1"/>
    <xf numFmtId="49" fontId="9" fillId="2" borderId="21" xfId="2" applyNumberFormat="1" applyFont="1" applyFill="1" applyBorder="1" applyAlignment="1" applyProtection="1">
      <alignment horizontal="center"/>
      <protection locked="0"/>
    </xf>
    <xf numFmtId="0" fontId="9" fillId="2" borderId="9" xfId="2" applyFont="1" applyFill="1" applyBorder="1" applyAlignment="1"/>
    <xf numFmtId="49" fontId="6" fillId="2" borderId="68" xfId="2" applyNumberFormat="1" applyFont="1" applyFill="1" applyBorder="1" applyAlignment="1">
      <alignment horizontal="center"/>
    </xf>
    <xf numFmtId="49" fontId="9" fillId="2" borderId="7" xfId="2" applyNumberFormat="1" applyFont="1" applyFill="1" applyBorder="1" applyAlignment="1" applyProtection="1">
      <alignment horizontal="center"/>
      <protection locked="0"/>
    </xf>
    <xf numFmtId="0" fontId="9" fillId="2" borderId="40" xfId="2" applyFont="1" applyFill="1" applyBorder="1" applyAlignment="1">
      <alignment horizontal="left"/>
    </xf>
    <xf numFmtId="0" fontId="9" fillId="2" borderId="54" xfId="2" applyFont="1" applyFill="1" applyBorder="1" applyAlignment="1"/>
    <xf numFmtId="165" fontId="1" fillId="2" borderId="54" xfId="0" applyNumberFormat="1" applyFont="1" applyFill="1" applyBorder="1" applyAlignment="1"/>
    <xf numFmtId="3" fontId="1" fillId="2" borderId="40" xfId="0" applyNumberFormat="1" applyFont="1" applyFill="1" applyBorder="1" applyAlignment="1"/>
    <xf numFmtId="4" fontId="9" fillId="2" borderId="7" xfId="0" applyNumberFormat="1" applyFont="1" applyFill="1" applyBorder="1" applyAlignment="1"/>
    <xf numFmtId="4" fontId="9" fillId="2" borderId="65" xfId="0" applyNumberFormat="1" applyFont="1" applyFill="1" applyBorder="1" applyAlignment="1"/>
    <xf numFmtId="0" fontId="4" fillId="2" borderId="0" xfId="1" applyFont="1" applyFill="1" applyBorder="1"/>
    <xf numFmtId="49" fontId="6" fillId="2" borderId="45" xfId="2" applyNumberFormat="1" applyFont="1" applyFill="1" applyBorder="1" applyAlignment="1">
      <alignment horizontal="center"/>
    </xf>
    <xf numFmtId="0" fontId="17" fillId="2" borderId="9" xfId="2" applyFont="1" applyFill="1" applyBorder="1"/>
    <xf numFmtId="0" fontId="9" fillId="2" borderId="21" xfId="2" applyFont="1" applyFill="1" applyBorder="1" applyAlignment="1">
      <alignment horizontal="left" vertical="top" wrapText="1"/>
    </xf>
    <xf numFmtId="0" fontId="9" fillId="2" borderId="21" xfId="2" applyFont="1" applyFill="1" applyBorder="1"/>
    <xf numFmtId="0" fontId="4" fillId="2" borderId="31" xfId="2" applyFont="1" applyFill="1" applyBorder="1" applyAlignment="1"/>
    <xf numFmtId="0" fontId="4" fillId="2" borderId="32" xfId="2" applyFont="1" applyFill="1" applyBorder="1" applyAlignment="1"/>
    <xf numFmtId="0" fontId="4" fillId="2" borderId="32" xfId="2" applyFont="1" applyFill="1" applyBorder="1"/>
    <xf numFmtId="49" fontId="17" fillId="2" borderId="21" xfId="2" applyNumberFormat="1" applyFont="1" applyFill="1" applyBorder="1"/>
    <xf numFmtId="0" fontId="9" fillId="2" borderId="21" xfId="0" applyFont="1" applyFill="1" applyBorder="1" applyAlignment="1">
      <alignment horizontal="left" wrapText="1"/>
    </xf>
    <xf numFmtId="165" fontId="28" fillId="2" borderId="21" xfId="0" applyNumberFormat="1" applyFont="1" applyFill="1" applyBorder="1" applyAlignment="1">
      <alignment horizontal="right" wrapText="1"/>
    </xf>
    <xf numFmtId="0" fontId="17" fillId="2" borderId="11" xfId="1" applyFont="1" applyFill="1" applyBorder="1" applyAlignment="1"/>
    <xf numFmtId="0" fontId="17" fillId="2" borderId="21" xfId="1" applyFont="1" applyFill="1" applyBorder="1" applyAlignment="1"/>
    <xf numFmtId="0" fontId="33" fillId="2" borderId="21" xfId="1" applyFont="1" applyFill="1" applyBorder="1" applyAlignment="1"/>
    <xf numFmtId="1" fontId="33" fillId="2" borderId="21" xfId="1" applyNumberFormat="1" applyFont="1" applyFill="1" applyBorder="1" applyAlignment="1"/>
    <xf numFmtId="0" fontId="28" fillId="2" borderId="47" xfId="0" applyFont="1" applyFill="1" applyBorder="1"/>
    <xf numFmtId="0" fontId="28" fillId="2" borderId="40" xfId="0" applyFont="1" applyFill="1" applyBorder="1"/>
    <xf numFmtId="0" fontId="9" fillId="2" borderId="40" xfId="0" applyFont="1" applyFill="1" applyBorder="1" applyAlignment="1">
      <alignment horizontal="justify" vertical="center" wrapText="1"/>
    </xf>
    <xf numFmtId="165" fontId="9" fillId="2" borderId="40" xfId="0" applyNumberFormat="1" applyFont="1" applyFill="1" applyBorder="1" applyAlignment="1">
      <alignment horizontal="right" vertical="center" wrapText="1"/>
    </xf>
    <xf numFmtId="3" fontId="28" fillId="2" borderId="40" xfId="0" applyNumberFormat="1" applyFont="1" applyFill="1" applyBorder="1" applyAlignment="1">
      <alignment horizontal="right"/>
    </xf>
    <xf numFmtId="4" fontId="9" fillId="2" borderId="40" xfId="2" applyNumberFormat="1" applyFont="1" applyFill="1" applyBorder="1"/>
    <xf numFmtId="4" fontId="9" fillId="2" borderId="66" xfId="0" applyNumberFormat="1" applyFont="1" applyFill="1" applyBorder="1"/>
    <xf numFmtId="0" fontId="7" fillId="2" borderId="11" xfId="2" applyFont="1" applyFill="1" applyBorder="1" applyAlignment="1">
      <alignment horizontal="center"/>
    </xf>
    <xf numFmtId="49" fontId="17" fillId="2" borderId="20" xfId="2" applyNumberFormat="1" applyFont="1" applyFill="1" applyBorder="1" applyAlignment="1" applyProtection="1">
      <alignment horizontal="center"/>
      <protection locked="0"/>
    </xf>
    <xf numFmtId="0" fontId="17" fillId="2" borderId="21" xfId="2" applyNumberFormat="1" applyFont="1" applyFill="1" applyBorder="1" applyAlignment="1">
      <alignment horizontal="left"/>
    </xf>
    <xf numFmtId="0" fontId="17" fillId="2" borderId="19" xfId="2" applyFont="1" applyFill="1" applyBorder="1" applyAlignment="1"/>
    <xf numFmtId="4" fontId="17" fillId="2" borderId="21" xfId="0" applyNumberFormat="1" applyFont="1" applyFill="1" applyBorder="1" applyAlignment="1">
      <alignment horizontal="right"/>
    </xf>
    <xf numFmtId="4" fontId="17" fillId="2" borderId="57" xfId="0" applyNumberFormat="1" applyFont="1" applyFill="1" applyBorder="1" applyAlignment="1">
      <alignment horizontal="right"/>
    </xf>
    <xf numFmtId="165" fontId="9" fillId="2" borderId="16" xfId="0" applyNumberFormat="1" applyFont="1" applyFill="1" applyBorder="1" applyAlignment="1">
      <alignment horizontal="right"/>
    </xf>
    <xf numFmtId="4" fontId="9" fillId="2" borderId="16" xfId="0" applyNumberFormat="1" applyFont="1" applyFill="1" applyBorder="1" applyAlignment="1">
      <alignment horizontal="right"/>
    </xf>
    <xf numFmtId="4" fontId="9" fillId="2" borderId="42" xfId="0" applyNumberFormat="1" applyFont="1" applyFill="1" applyBorder="1" applyAlignment="1">
      <alignment horizontal="right"/>
    </xf>
    <xf numFmtId="3" fontId="3" fillId="2" borderId="40" xfId="2" applyNumberFormat="1" applyFont="1" applyFill="1" applyBorder="1"/>
    <xf numFmtId="165" fontId="3" fillId="2" borderId="40" xfId="2" applyNumberFormat="1" applyFont="1" applyFill="1" applyBorder="1"/>
    <xf numFmtId="3" fontId="1" fillId="2" borderId="40" xfId="0" applyNumberFormat="1" applyFont="1" applyFill="1" applyBorder="1" applyAlignment="1">
      <alignment horizontal="right"/>
    </xf>
    <xf numFmtId="165" fontId="1" fillId="2" borderId="40" xfId="0" applyNumberFormat="1" applyFont="1" applyFill="1" applyBorder="1" applyAlignment="1">
      <alignment horizontal="right"/>
    </xf>
    <xf numFmtId="3" fontId="1" fillId="2" borderId="54" xfId="0" applyNumberFormat="1" applyFont="1" applyFill="1" applyBorder="1"/>
    <xf numFmtId="4" fontId="1" fillId="2" borderId="7" xfId="2" applyNumberFormat="1" applyFont="1" applyFill="1" applyBorder="1"/>
    <xf numFmtId="4" fontId="1" fillId="2" borderId="63" xfId="0" applyNumberFormat="1" applyFont="1" applyFill="1" applyBorder="1"/>
    <xf numFmtId="49" fontId="6" fillId="2" borderId="0" xfId="2" applyNumberFormat="1" applyFont="1" applyFill="1" applyBorder="1" applyAlignment="1">
      <alignment horizontal="center"/>
    </xf>
    <xf numFmtId="49" fontId="9" fillId="2" borderId="0" xfId="2" applyNumberFormat="1" applyFont="1" applyFill="1" applyBorder="1" applyAlignment="1" applyProtection="1">
      <alignment horizontal="center"/>
      <protection locked="0"/>
    </xf>
    <xf numFmtId="0" fontId="9" fillId="2" borderId="0" xfId="2" applyFont="1" applyFill="1" applyBorder="1" applyAlignment="1">
      <alignment horizontal="left"/>
    </xf>
    <xf numFmtId="0" fontId="9" fillId="2" borderId="0" xfId="2" applyFont="1" applyFill="1" applyBorder="1" applyAlignment="1"/>
    <xf numFmtId="0" fontId="9" fillId="2" borderId="0" xfId="0" applyFont="1" applyFill="1" applyBorder="1" applyAlignment="1">
      <alignment horizontal="right"/>
    </xf>
    <xf numFmtId="165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/>
    <xf numFmtId="4" fontId="9" fillId="2" borderId="0" xfId="0" applyNumberFormat="1" applyFont="1" applyFill="1" applyBorder="1" applyAlignment="1"/>
    <xf numFmtId="4" fontId="17" fillId="2" borderId="40" xfId="2" applyNumberFormat="1" applyFont="1" applyFill="1" applyBorder="1"/>
    <xf numFmtId="4" fontId="17" fillId="2" borderId="66" xfId="0" applyNumberFormat="1" applyFont="1" applyFill="1" applyBorder="1"/>
    <xf numFmtId="0" fontId="4" fillId="2" borderId="21" xfId="2" applyFont="1" applyFill="1" applyBorder="1" applyAlignment="1">
      <alignment horizontal="left" vertical="center"/>
    </xf>
    <xf numFmtId="49" fontId="1" fillId="2" borderId="21" xfId="2" applyNumberFormat="1" applyFont="1" applyFill="1" applyBorder="1"/>
    <xf numFmtId="0" fontId="4" fillId="2" borderId="27" xfId="2" applyFont="1" applyFill="1" applyBorder="1" applyAlignment="1">
      <alignment vertical="center"/>
    </xf>
    <xf numFmtId="49" fontId="6" fillId="2" borderId="11" xfId="2" applyNumberFormat="1" applyFont="1" applyFill="1" applyBorder="1" applyAlignment="1">
      <alignment horizontal="center" vertical="center"/>
    </xf>
    <xf numFmtId="0" fontId="0" fillId="2" borderId="9" xfId="0" applyFill="1" applyBorder="1"/>
    <xf numFmtId="4" fontId="1" fillId="2" borderId="16" xfId="2" applyNumberFormat="1" applyFont="1" applyFill="1" applyBorder="1" applyAlignment="1">
      <alignment horizontal="right"/>
    </xf>
    <xf numFmtId="4" fontId="1" fillId="2" borderId="14" xfId="0" applyNumberFormat="1" applyFont="1" applyFill="1" applyBorder="1" applyAlignment="1">
      <alignment horizontal="right"/>
    </xf>
    <xf numFmtId="4" fontId="1" fillId="2" borderId="21" xfId="2" applyNumberFormat="1" applyFont="1" applyFill="1" applyBorder="1" applyAlignment="1">
      <alignment horizontal="right"/>
    </xf>
    <xf numFmtId="4" fontId="9" fillId="2" borderId="21" xfId="0" applyNumberFormat="1" applyFont="1" applyFill="1" applyBorder="1" applyAlignment="1">
      <alignment horizontal="right"/>
    </xf>
    <xf numFmtId="4" fontId="7" fillId="2" borderId="16" xfId="0" applyNumberFormat="1" applyFont="1" applyFill="1" applyBorder="1" applyAlignment="1">
      <alignment horizontal="right"/>
    </xf>
    <xf numFmtId="4" fontId="9" fillId="2" borderId="21" xfId="2" applyNumberFormat="1" applyFont="1" applyFill="1" applyBorder="1" applyAlignment="1">
      <alignment horizontal="right"/>
    </xf>
    <xf numFmtId="4" fontId="17" fillId="2" borderId="21" xfId="2" applyNumberFormat="1" applyFont="1" applyFill="1" applyBorder="1" applyAlignment="1">
      <alignment horizontal="right"/>
    </xf>
    <xf numFmtId="4" fontId="9" fillId="2" borderId="57" xfId="0" applyNumberFormat="1" applyFont="1" applyFill="1" applyBorder="1" applyAlignment="1">
      <alignment horizontal="right"/>
    </xf>
    <xf numFmtId="4" fontId="1" fillId="2" borderId="40" xfId="2" applyNumberFormat="1" applyFont="1" applyFill="1" applyBorder="1" applyAlignment="1">
      <alignment horizontal="right"/>
    </xf>
    <xf numFmtId="2" fontId="17" fillId="2" borderId="21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4" fontId="7" fillId="2" borderId="57" xfId="2" applyNumberFormat="1" applyFont="1" applyFill="1" applyBorder="1"/>
    <xf numFmtId="2" fontId="2" fillId="2" borderId="27" xfId="0" applyNumberFormat="1" applyFont="1" applyFill="1" applyBorder="1" applyAlignment="1">
      <alignment horizontal="right" vertical="center"/>
    </xf>
    <xf numFmtId="2" fontId="7" fillId="2" borderId="21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7" fillId="2" borderId="10" xfId="0" applyNumberFormat="1" applyFont="1" applyFill="1" applyBorder="1" applyAlignment="1">
      <alignment horizontal="right"/>
    </xf>
    <xf numFmtId="4" fontId="7" fillId="2" borderId="21" xfId="0" applyNumberFormat="1" applyFont="1" applyFill="1" applyBorder="1" applyAlignment="1">
      <alignment horizontal="right"/>
    </xf>
    <xf numFmtId="4" fontId="1" fillId="2" borderId="21" xfId="0" applyNumberFormat="1" applyFont="1" applyFill="1" applyBorder="1" applyAlignment="1">
      <alignment horizontal="right"/>
    </xf>
    <xf numFmtId="4" fontId="2" fillId="2" borderId="37" xfId="0" applyNumberFormat="1" applyFont="1" applyFill="1" applyBorder="1" applyAlignment="1">
      <alignment horizontal="right" vertical="center"/>
    </xf>
    <xf numFmtId="4" fontId="1" fillId="2" borderId="57" xfId="0" applyNumberFormat="1" applyFont="1" applyFill="1" applyBorder="1" applyAlignment="1">
      <alignment horizontal="right"/>
    </xf>
    <xf numFmtId="4" fontId="7" fillId="2" borderId="7" xfId="0" applyNumberFormat="1" applyFont="1" applyFill="1" applyBorder="1" applyAlignment="1">
      <alignment horizontal="right"/>
    </xf>
    <xf numFmtId="4" fontId="25" fillId="2" borderId="21" xfId="0" applyNumberFormat="1" applyFont="1" applyFill="1" applyBorder="1" applyAlignment="1">
      <alignment horizontal="right"/>
    </xf>
    <xf numFmtId="0" fontId="3" fillId="2" borderId="11" xfId="2" applyFont="1" applyFill="1" applyBorder="1"/>
    <xf numFmtId="0" fontId="3" fillId="2" borderId="68" xfId="2" applyFont="1" applyFill="1" applyBorder="1" applyAlignment="1"/>
    <xf numFmtId="3" fontId="9" fillId="2" borderId="39" xfId="0" applyNumberFormat="1" applyFont="1" applyFill="1" applyBorder="1"/>
    <xf numFmtId="165" fontId="1" fillId="2" borderId="7" xfId="0" applyNumberFormat="1" applyFont="1" applyFill="1" applyBorder="1"/>
    <xf numFmtId="0" fontId="17" fillId="2" borderId="21" xfId="0" applyFont="1" applyFill="1" applyBorder="1" applyAlignment="1"/>
    <xf numFmtId="0" fontId="7" fillId="2" borderId="19" xfId="2" applyFont="1" applyFill="1" applyBorder="1" applyAlignment="1">
      <alignment horizontal="left"/>
    </xf>
    <xf numFmtId="0" fontId="7" fillId="2" borderId="20" xfId="2" applyFont="1" applyFill="1" applyBorder="1" applyAlignment="1">
      <alignment horizontal="left"/>
    </xf>
    <xf numFmtId="0" fontId="27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2" fillId="2" borderId="25" xfId="2" applyNumberFormat="1" applyFont="1" applyFill="1" applyBorder="1" applyAlignment="1">
      <alignment horizontal="left"/>
    </xf>
    <xf numFmtId="49" fontId="2" fillId="2" borderId="36" xfId="2" applyNumberFormat="1" applyFont="1" applyFill="1" applyBorder="1" applyAlignment="1">
      <alignment horizontal="left"/>
    </xf>
    <xf numFmtId="49" fontId="2" fillId="2" borderId="37" xfId="2" applyNumberFormat="1" applyFont="1" applyFill="1" applyBorder="1" applyAlignment="1">
      <alignment horizontal="left"/>
    </xf>
    <xf numFmtId="0" fontId="4" fillId="2" borderId="25" xfId="2" applyFont="1" applyFill="1" applyBorder="1" applyAlignment="1"/>
    <xf numFmtId="0" fontId="4" fillId="2" borderId="36" xfId="2" applyFont="1" applyFill="1" applyBorder="1" applyAlignment="1"/>
    <xf numFmtId="0" fontId="4" fillId="2" borderId="37" xfId="2" applyFont="1" applyFill="1" applyBorder="1" applyAlignment="1"/>
    <xf numFmtId="49" fontId="4" fillId="2" borderId="25" xfId="2" applyNumberFormat="1" applyFont="1" applyFill="1" applyBorder="1" applyAlignment="1">
      <alignment horizontal="left"/>
    </xf>
    <xf numFmtId="4" fontId="7" fillId="2" borderId="50" xfId="0" applyNumberFormat="1" applyFont="1" applyFill="1" applyBorder="1" applyAlignment="1"/>
    <xf numFmtId="4" fontId="7" fillId="2" borderId="52" xfId="0" applyNumberFormat="1" applyFont="1" applyFill="1" applyBorder="1" applyAlignment="1"/>
    <xf numFmtId="49" fontId="17" fillId="2" borderId="17" xfId="2" applyNumberFormat="1" applyFont="1" applyFill="1" applyBorder="1" applyAlignment="1" applyProtection="1">
      <alignment horizontal="left"/>
      <protection locked="0"/>
    </xf>
    <xf numFmtId="0" fontId="22" fillId="2" borderId="10" xfId="0" applyFont="1" applyFill="1" applyBorder="1" applyAlignment="1">
      <alignment horizontal="left"/>
    </xf>
    <xf numFmtId="49" fontId="17" fillId="2" borderId="22" xfId="2" applyNumberFormat="1" applyFont="1" applyFill="1" applyBorder="1" applyAlignment="1" applyProtection="1">
      <alignment horizontal="left"/>
      <protection locked="0"/>
    </xf>
    <xf numFmtId="0" fontId="22" fillId="2" borderId="20" xfId="0" applyFont="1" applyFill="1" applyBorder="1" applyAlignment="1">
      <alignment horizontal="left"/>
    </xf>
    <xf numFmtId="165" fontId="7" fillId="2" borderId="24" xfId="0" applyNumberFormat="1" applyFont="1" applyFill="1" applyBorder="1" applyAlignment="1"/>
    <xf numFmtId="165" fontId="7" fillId="2" borderId="17" xfId="0" applyNumberFormat="1" applyFont="1" applyFill="1" applyBorder="1" applyAlignment="1"/>
    <xf numFmtId="3" fontId="17" fillId="2" borderId="4" xfId="0" applyNumberFormat="1" applyFont="1" applyFill="1" applyBorder="1" applyAlignment="1">
      <alignment horizontal="right"/>
    </xf>
    <xf numFmtId="3" fontId="17" fillId="2" borderId="16" xfId="0" applyNumberFormat="1" applyFont="1" applyFill="1" applyBorder="1" applyAlignment="1">
      <alignment horizontal="right"/>
    </xf>
    <xf numFmtId="3" fontId="7" fillId="2" borderId="4" xfId="0" applyNumberFormat="1" applyFont="1" applyFill="1" applyBorder="1" applyAlignment="1"/>
    <xf numFmtId="3" fontId="7" fillId="2" borderId="16" xfId="0" applyNumberFormat="1" applyFont="1" applyFill="1" applyBorder="1" applyAlignment="1"/>
    <xf numFmtId="49" fontId="3" fillId="2" borderId="22" xfId="2" applyNumberFormat="1" applyFont="1" applyFill="1" applyBorder="1" applyAlignment="1">
      <alignment horizontal="center"/>
    </xf>
    <xf numFmtId="49" fontId="3" fillId="2" borderId="19" xfId="2" applyNumberFormat="1" applyFont="1" applyFill="1" applyBorder="1" applyAlignment="1">
      <alignment horizontal="center"/>
    </xf>
    <xf numFmtId="49" fontId="3" fillId="2" borderId="20" xfId="2" applyNumberFormat="1" applyFont="1" applyFill="1" applyBorder="1" applyAlignment="1">
      <alignment horizontal="center"/>
    </xf>
    <xf numFmtId="4" fontId="7" fillId="2" borderId="4" xfId="0" applyNumberFormat="1" applyFont="1" applyFill="1" applyBorder="1" applyAlignment="1"/>
    <xf numFmtId="4" fontId="7" fillId="2" borderId="16" xfId="0" applyNumberFormat="1" applyFont="1" applyFill="1" applyBorder="1" applyAlignment="1"/>
    <xf numFmtId="0" fontId="4" fillId="2" borderId="26" xfId="2" applyFont="1" applyFill="1" applyBorder="1" applyAlignment="1">
      <alignment vertical="center"/>
    </xf>
    <xf numFmtId="0" fontId="4" fillId="2" borderId="27" xfId="2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36" xfId="0" applyFont="1" applyFill="1" applyBorder="1" applyAlignment="1">
      <alignment vertical="center"/>
    </xf>
    <xf numFmtId="0" fontId="2" fillId="2" borderId="37" xfId="0" applyFont="1" applyFill="1" applyBorder="1" applyAlignment="1">
      <alignment vertical="center"/>
    </xf>
    <xf numFmtId="4" fontId="1" fillId="2" borderId="35" xfId="0" applyNumberFormat="1" applyFont="1" applyFill="1" applyBorder="1" applyAlignment="1">
      <alignment horizontal="right"/>
    </xf>
    <xf numFmtId="4" fontId="1" fillId="2" borderId="42" xfId="0" applyNumberFormat="1" applyFont="1" applyFill="1" applyBorder="1" applyAlignment="1">
      <alignment horizontal="right"/>
    </xf>
    <xf numFmtId="49" fontId="7" fillId="2" borderId="10" xfId="2" applyNumberFormat="1" applyFont="1" applyFill="1" applyBorder="1" applyAlignment="1">
      <alignment horizontal="left"/>
    </xf>
    <xf numFmtId="0" fontId="7" fillId="2" borderId="16" xfId="2" applyFont="1" applyFill="1" applyBorder="1" applyAlignment="1">
      <alignment horizontal="left"/>
    </xf>
    <xf numFmtId="3" fontId="1" fillId="2" borderId="14" xfId="0" applyNumberFormat="1" applyFont="1" applyFill="1" applyBorder="1" applyAlignment="1">
      <alignment horizontal="right"/>
    </xf>
    <xf numFmtId="3" fontId="1" fillId="2" borderId="16" xfId="0" applyNumberFormat="1" applyFont="1" applyFill="1" applyBorder="1" applyAlignment="1">
      <alignment horizontal="right"/>
    </xf>
    <xf numFmtId="165" fontId="1" fillId="2" borderId="14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4" fontId="1" fillId="2" borderId="14" xfId="2" applyNumberFormat="1" applyFont="1" applyFill="1" applyBorder="1" applyAlignment="1">
      <alignment horizontal="right"/>
    </xf>
    <xf numFmtId="4" fontId="1" fillId="2" borderId="16" xfId="2" applyNumberFormat="1" applyFont="1" applyFill="1" applyBorder="1" applyAlignment="1">
      <alignment horizontal="right"/>
    </xf>
    <xf numFmtId="0" fontId="1" fillId="2" borderId="14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3" fillId="2" borderId="14" xfId="2" applyFont="1" applyFill="1" applyBorder="1" applyAlignment="1">
      <alignment horizontal="left" wrapText="1"/>
    </xf>
    <xf numFmtId="0" fontId="3" fillId="2" borderId="16" xfId="2" applyFont="1" applyFill="1" applyBorder="1" applyAlignment="1">
      <alignment horizontal="left" wrapText="1"/>
    </xf>
    <xf numFmtId="0" fontId="3" fillId="2" borderId="14" xfId="2" applyFont="1" applyFill="1" applyBorder="1" applyAlignment="1">
      <alignment horizontal="left"/>
    </xf>
    <xf numFmtId="0" fontId="3" fillId="2" borderId="16" xfId="2" applyFont="1" applyFill="1" applyBorder="1" applyAlignment="1">
      <alignment horizontal="left"/>
    </xf>
    <xf numFmtId="49" fontId="3" fillId="2" borderId="15" xfId="2" applyNumberFormat="1" applyFont="1" applyFill="1" applyBorder="1" applyAlignment="1">
      <alignment horizontal="left"/>
    </xf>
    <xf numFmtId="49" fontId="3" fillId="2" borderId="8" xfId="2" applyNumberFormat="1" applyFont="1" applyFill="1" applyBorder="1" applyAlignment="1">
      <alignment horizontal="left"/>
    </xf>
    <xf numFmtId="3" fontId="1" fillId="2" borderId="14" xfId="2" applyNumberFormat="1" applyFont="1" applyFill="1" applyBorder="1" applyAlignment="1">
      <alignment horizontal="right"/>
    </xf>
    <xf numFmtId="3" fontId="1" fillId="2" borderId="16" xfId="2" applyNumberFormat="1" applyFont="1" applyFill="1" applyBorder="1" applyAlignment="1">
      <alignment horizontal="right"/>
    </xf>
    <xf numFmtId="49" fontId="3" fillId="2" borderId="14" xfId="2" applyNumberFormat="1" applyFont="1" applyFill="1" applyBorder="1" applyAlignment="1">
      <alignment horizontal="left"/>
    </xf>
    <xf numFmtId="49" fontId="3" fillId="2" borderId="16" xfId="2" applyNumberFormat="1" applyFont="1" applyFill="1" applyBorder="1" applyAlignment="1">
      <alignment horizontal="left"/>
    </xf>
    <xf numFmtId="2" fontId="1" fillId="2" borderId="14" xfId="0" applyNumberFormat="1" applyFont="1" applyFill="1" applyBorder="1" applyAlignment="1">
      <alignment horizontal="right" wrapText="1"/>
    </xf>
    <xf numFmtId="2" fontId="1" fillId="2" borderId="16" xfId="0" applyNumberFormat="1" applyFont="1" applyFill="1" applyBorder="1" applyAlignment="1">
      <alignment horizontal="right" wrapText="1"/>
    </xf>
    <xf numFmtId="2" fontId="1" fillId="2" borderId="35" xfId="0" applyNumberFormat="1" applyFont="1" applyFill="1" applyBorder="1" applyAlignment="1">
      <alignment horizontal="right"/>
    </xf>
    <xf numFmtId="2" fontId="1" fillId="2" borderId="42" xfId="0" applyNumberFormat="1" applyFont="1" applyFill="1" applyBorder="1" applyAlignment="1">
      <alignment horizontal="right"/>
    </xf>
    <xf numFmtId="165" fontId="1" fillId="2" borderId="13" xfId="2" applyNumberFormat="1" applyFont="1" applyFill="1" applyBorder="1" applyAlignment="1">
      <alignment horizontal="right"/>
    </xf>
    <xf numFmtId="165" fontId="1" fillId="2" borderId="9" xfId="2" applyNumberFormat="1" applyFont="1" applyFill="1" applyBorder="1" applyAlignment="1">
      <alignment horizontal="right"/>
    </xf>
    <xf numFmtId="0" fontId="4" fillId="2" borderId="25" xfId="0" applyFont="1" applyFill="1" applyBorder="1" applyAlignment="1">
      <alignment vertical="center"/>
    </xf>
    <xf numFmtId="0" fontId="4" fillId="2" borderId="36" xfId="0" applyFont="1" applyFill="1" applyBorder="1" applyAlignment="1">
      <alignment vertical="center"/>
    </xf>
    <xf numFmtId="0" fontId="4" fillId="2" borderId="37" xfId="0" applyFont="1" applyFill="1" applyBorder="1" applyAlignment="1">
      <alignment vertical="center"/>
    </xf>
    <xf numFmtId="0" fontId="13" fillId="2" borderId="0" xfId="0" applyFont="1" applyFill="1" applyBorder="1" applyAlignment="1"/>
    <xf numFmtId="49" fontId="6" fillId="2" borderId="22" xfId="2" applyNumberFormat="1" applyFont="1" applyFill="1" applyBorder="1" applyAlignment="1">
      <alignment horizontal="left"/>
    </xf>
    <xf numFmtId="49" fontId="6" fillId="2" borderId="20" xfId="2" applyNumberFormat="1" applyFont="1" applyFill="1" applyBorder="1" applyAlignment="1">
      <alignment horizontal="left"/>
    </xf>
    <xf numFmtId="0" fontId="4" fillId="2" borderId="25" xfId="2" applyFont="1" applyFill="1" applyBorder="1" applyAlignment="1">
      <alignment vertical="center"/>
    </xf>
    <xf numFmtId="0" fontId="4" fillId="2" borderId="36" xfId="2" applyFont="1" applyFill="1" applyBorder="1" applyAlignment="1">
      <alignment vertical="center"/>
    </xf>
    <xf numFmtId="0" fontId="4" fillId="2" borderId="37" xfId="2" applyFont="1" applyFill="1" applyBorder="1" applyAlignment="1">
      <alignment vertical="center"/>
    </xf>
    <xf numFmtId="0" fontId="7" fillId="2" borderId="19" xfId="0" applyFont="1" applyFill="1" applyBorder="1" applyAlignment="1"/>
    <xf numFmtId="0" fontId="7" fillId="2" borderId="20" xfId="0" applyFont="1" applyFill="1" applyBorder="1" applyAlignment="1"/>
    <xf numFmtId="49" fontId="1" fillId="2" borderId="15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6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16" xfId="0" applyNumberFormat="1" applyFont="1" applyFill="1" applyBorder="1" applyAlignment="1">
      <alignment horizontal="right"/>
    </xf>
    <xf numFmtId="0" fontId="7" fillId="2" borderId="9" xfId="0" applyFont="1" applyFill="1" applyBorder="1" applyAlignment="1"/>
    <xf numFmtId="0" fontId="7" fillId="2" borderId="10" xfId="0" applyFont="1" applyFill="1" applyBorder="1" applyAlignment="1"/>
    <xf numFmtId="0" fontId="4" fillId="2" borderId="0" xfId="1" applyFont="1" applyFill="1" applyBorder="1" applyAlignment="1"/>
    <xf numFmtId="0" fontId="1" fillId="2" borderId="0" xfId="1" applyFill="1" applyBorder="1" applyAlignment="1"/>
    <xf numFmtId="49" fontId="7" fillId="2" borderId="16" xfId="2" applyNumberFormat="1" applyFont="1" applyFill="1" applyBorder="1" applyAlignment="1">
      <alignment horizontal="left"/>
    </xf>
  </cellXfs>
  <cellStyles count="3">
    <cellStyle name="Normální" xfId="0" builtinId="0"/>
    <cellStyle name="normální 2" xfId="2" xr:uid="{00000000-0005-0000-0000-000001000000}"/>
    <cellStyle name="normální_Rozbory 2014" xfId="1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7"/>
  <sheetViews>
    <sheetView tabSelected="1" zoomScaleNormal="100" workbookViewId="0">
      <selection activeCell="C6" sqref="C6"/>
    </sheetView>
  </sheetViews>
  <sheetFormatPr defaultRowHeight="15"/>
  <cols>
    <col min="1" max="2" width="11.28515625" style="17" customWidth="1"/>
    <col min="3" max="3" width="52.28515625" style="17" customWidth="1"/>
    <col min="4" max="4" width="37.7109375" style="17" customWidth="1"/>
    <col min="5" max="7" width="16.42578125" style="17" customWidth="1"/>
    <col min="8" max="9" width="10.7109375" style="17" customWidth="1"/>
    <col min="10" max="11" width="9.140625" style="17"/>
    <col min="12" max="12" width="9.140625" style="17" customWidth="1"/>
    <col min="13" max="16384" width="9.140625" style="17"/>
  </cols>
  <sheetData>
    <row r="2" spans="1:9">
      <c r="H2" s="17" t="s">
        <v>560</v>
      </c>
    </row>
    <row r="3" spans="1:9">
      <c r="H3" s="17" t="s">
        <v>558</v>
      </c>
    </row>
    <row r="4" spans="1:9">
      <c r="H4" s="916" t="s">
        <v>559</v>
      </c>
      <c r="I4" s="916"/>
    </row>
    <row r="5" spans="1:9" ht="20.25">
      <c r="A5" s="947" t="s">
        <v>526</v>
      </c>
      <c r="B5" s="948"/>
      <c r="C5" s="948"/>
      <c r="D5" s="948"/>
      <c r="E5" s="948"/>
      <c r="F5" s="948"/>
      <c r="G5" s="948"/>
      <c r="H5" s="948"/>
      <c r="I5" s="948"/>
    </row>
    <row r="7" spans="1:9" ht="15.75">
      <c r="A7" s="949" t="s">
        <v>322</v>
      </c>
      <c r="B7" s="949"/>
      <c r="C7" s="949"/>
      <c r="D7" s="949"/>
      <c r="E7" s="949"/>
      <c r="F7" s="948"/>
      <c r="G7" s="948"/>
      <c r="H7" s="948"/>
      <c r="I7" s="948"/>
    </row>
    <row r="8" spans="1:9" ht="15.75">
      <c r="A8" s="950" t="s">
        <v>268</v>
      </c>
      <c r="B8" s="950"/>
      <c r="C8" s="950"/>
      <c r="D8" s="950"/>
      <c r="E8" s="950"/>
      <c r="F8" s="948"/>
      <c r="G8" s="948"/>
      <c r="H8" s="948"/>
      <c r="I8" s="948"/>
    </row>
    <row r="9" spans="1:9" ht="15.75">
      <c r="A9" s="950" t="s">
        <v>238</v>
      </c>
      <c r="B9" s="950"/>
      <c r="C9" s="950"/>
      <c r="D9" s="950"/>
      <c r="E9" s="950"/>
      <c r="F9" s="948"/>
      <c r="G9" s="948"/>
      <c r="H9" s="948"/>
      <c r="I9" s="948"/>
    </row>
    <row r="10" spans="1:9" ht="15.75">
      <c r="A10" s="950" t="s">
        <v>237</v>
      </c>
      <c r="B10" s="950"/>
      <c r="C10" s="950"/>
      <c r="D10" s="950"/>
      <c r="E10" s="950"/>
      <c r="F10" s="948"/>
      <c r="G10" s="948"/>
      <c r="H10" s="948"/>
      <c r="I10" s="948"/>
    </row>
    <row r="11" spans="1:9" ht="18.75" thickBot="1">
      <c r="A11" s="221" t="s">
        <v>0</v>
      </c>
      <c r="B11" s="222"/>
      <c r="C11" s="223"/>
      <c r="D11" s="58"/>
      <c r="I11" s="59" t="s">
        <v>522</v>
      </c>
    </row>
    <row r="12" spans="1:9" ht="15" customHeight="1">
      <c r="A12" s="171" t="s">
        <v>1</v>
      </c>
      <c r="B12" s="64" t="s">
        <v>2</v>
      </c>
      <c r="C12" s="172" t="s">
        <v>3</v>
      </c>
      <c r="D12" s="142"/>
      <c r="E12" s="64" t="s">
        <v>4</v>
      </c>
      <c r="F12" s="64" t="s">
        <v>320</v>
      </c>
      <c r="G12" s="141" t="s">
        <v>314</v>
      </c>
      <c r="H12" s="64" t="s">
        <v>316</v>
      </c>
      <c r="I12" s="164" t="s">
        <v>316</v>
      </c>
    </row>
    <row r="13" spans="1:9">
      <c r="A13" s="173" t="s">
        <v>5</v>
      </c>
      <c r="B13" s="71" t="s">
        <v>6</v>
      </c>
      <c r="C13" s="174" t="s">
        <v>7</v>
      </c>
      <c r="D13" s="145" t="s">
        <v>8</v>
      </c>
      <c r="E13" s="71" t="s">
        <v>319</v>
      </c>
      <c r="F13" s="71" t="s">
        <v>321</v>
      </c>
      <c r="G13" s="144" t="s">
        <v>315</v>
      </c>
      <c r="H13" s="71" t="s">
        <v>317</v>
      </c>
      <c r="I13" s="139" t="s">
        <v>318</v>
      </c>
    </row>
    <row r="14" spans="1:9" ht="15.75" thickBot="1">
      <c r="A14" s="173" t="s">
        <v>9</v>
      </c>
      <c r="B14" s="71" t="s">
        <v>10</v>
      </c>
      <c r="C14" s="174"/>
      <c r="D14" s="145"/>
      <c r="E14" s="71" t="s">
        <v>291</v>
      </c>
      <c r="F14" s="71" t="s">
        <v>525</v>
      </c>
      <c r="G14" s="114">
        <v>43830</v>
      </c>
      <c r="H14" s="166" t="s">
        <v>236</v>
      </c>
      <c r="I14" s="139" t="s">
        <v>236</v>
      </c>
    </row>
    <row r="15" spans="1:9" ht="15.75">
      <c r="A15" s="175" t="s">
        <v>11</v>
      </c>
      <c r="B15" s="224"/>
      <c r="C15" s="225"/>
      <c r="D15" s="226"/>
      <c r="E15" s="227"/>
      <c r="F15" s="119"/>
      <c r="G15" s="169"/>
      <c r="H15" s="86"/>
      <c r="I15" s="170"/>
    </row>
    <row r="16" spans="1:9">
      <c r="A16" s="228" t="s">
        <v>478</v>
      </c>
      <c r="B16" s="229" t="s">
        <v>450</v>
      </c>
      <c r="C16" s="230"/>
      <c r="D16" s="229"/>
      <c r="E16" s="231">
        <f>SUM(E17:E17)</f>
        <v>200</v>
      </c>
      <c r="F16" s="232">
        <f t="shared" ref="F16:G16" si="0">SUM(F17:F17)</f>
        <v>200</v>
      </c>
      <c r="G16" s="231">
        <f t="shared" si="0"/>
        <v>0</v>
      </c>
      <c r="H16" s="219">
        <f>G16/E16*100</f>
        <v>0</v>
      </c>
      <c r="I16" s="220">
        <f>G16/F16*100</f>
        <v>0</v>
      </c>
    </row>
    <row r="17" spans="1:9" ht="15.75">
      <c r="A17" s="233"/>
      <c r="B17" s="213"/>
      <c r="C17" s="214" t="s">
        <v>251</v>
      </c>
      <c r="D17" s="214" t="s">
        <v>12</v>
      </c>
      <c r="E17" s="234">
        <v>200</v>
      </c>
      <c r="F17" s="235">
        <v>200</v>
      </c>
      <c r="G17" s="236">
        <v>0</v>
      </c>
      <c r="H17" s="237">
        <f t="shared" ref="H17:H27" si="1">G17/E17*100</f>
        <v>0</v>
      </c>
      <c r="I17" s="238">
        <f t="shared" ref="I17:I27" si="2">G17/F17*100</f>
        <v>0</v>
      </c>
    </row>
    <row r="18" spans="1:9" ht="15.75">
      <c r="A18" s="212"/>
      <c r="B18" s="213"/>
      <c r="C18" s="214"/>
      <c r="D18" s="215"/>
      <c r="E18" s="216"/>
      <c r="F18" s="217"/>
      <c r="G18" s="218"/>
      <c r="H18" s="219"/>
      <c r="I18" s="220"/>
    </row>
    <row r="19" spans="1:9">
      <c r="A19" s="228" t="s">
        <v>13</v>
      </c>
      <c r="B19" s="945" t="s">
        <v>233</v>
      </c>
      <c r="C19" s="945"/>
      <c r="D19" s="946"/>
      <c r="E19" s="239">
        <f>SUM(E20:E22)</f>
        <v>600</v>
      </c>
      <c r="F19" s="240">
        <f>SUM(F20:F22)</f>
        <v>600</v>
      </c>
      <c r="G19" s="231">
        <f>SUM(G20:G22)</f>
        <v>399</v>
      </c>
      <c r="H19" s="219">
        <f t="shared" si="1"/>
        <v>66.5</v>
      </c>
      <c r="I19" s="220">
        <f t="shared" si="2"/>
        <v>66.5</v>
      </c>
    </row>
    <row r="20" spans="1:9">
      <c r="A20" s="233"/>
      <c r="B20" s="241"/>
      <c r="C20" s="214" t="s">
        <v>14</v>
      </c>
      <c r="D20" s="214" t="s">
        <v>12</v>
      </c>
      <c r="E20" s="234">
        <v>100</v>
      </c>
      <c r="F20" s="235">
        <v>30</v>
      </c>
      <c r="G20" s="236">
        <v>0</v>
      </c>
      <c r="H20" s="237">
        <f t="shared" si="1"/>
        <v>0</v>
      </c>
      <c r="I20" s="238">
        <f t="shared" si="2"/>
        <v>0</v>
      </c>
    </row>
    <row r="21" spans="1:9">
      <c r="A21" s="242"/>
      <c r="B21" s="241"/>
      <c r="C21" s="214" t="s">
        <v>15</v>
      </c>
      <c r="D21" s="214" t="s">
        <v>12</v>
      </c>
      <c r="E21" s="234">
        <v>500</v>
      </c>
      <c r="F21" s="235">
        <v>500</v>
      </c>
      <c r="G21" s="236">
        <v>329</v>
      </c>
      <c r="H21" s="237">
        <f t="shared" si="1"/>
        <v>65.8</v>
      </c>
      <c r="I21" s="238">
        <f t="shared" si="2"/>
        <v>65.8</v>
      </c>
    </row>
    <row r="22" spans="1:9">
      <c r="A22" s="243"/>
      <c r="B22" s="214"/>
      <c r="C22" s="244" t="s">
        <v>442</v>
      </c>
      <c r="D22" s="214" t="s">
        <v>443</v>
      </c>
      <c r="E22" s="234">
        <v>0</v>
      </c>
      <c r="F22" s="235">
        <v>70</v>
      </c>
      <c r="G22" s="236">
        <v>70</v>
      </c>
      <c r="H22" s="917" t="s">
        <v>557</v>
      </c>
      <c r="I22" s="238">
        <f t="shared" ref="I22" si="3">G22/F22*100</f>
        <v>100</v>
      </c>
    </row>
    <row r="23" spans="1:9">
      <c r="A23" s="243"/>
      <c r="B23" s="245"/>
      <c r="C23" s="244"/>
      <c r="D23" s="214"/>
      <c r="E23" s="234"/>
      <c r="F23" s="235"/>
      <c r="G23" s="236"/>
      <c r="H23" s="219"/>
      <c r="I23" s="220"/>
    </row>
    <row r="24" spans="1:9">
      <c r="A24" s="228" t="s">
        <v>13</v>
      </c>
      <c r="B24" s="945" t="s">
        <v>233</v>
      </c>
      <c r="C24" s="945"/>
      <c r="D24" s="946"/>
      <c r="E24" s="231">
        <f>SUM(E26:E26)</f>
        <v>772</v>
      </c>
      <c r="F24" s="232">
        <f>F26</f>
        <v>1782.3</v>
      </c>
      <c r="G24" s="231">
        <f t="shared" ref="G24" si="4">SUM(G26:G26)</f>
        <v>1738</v>
      </c>
      <c r="H24" s="219">
        <f t="shared" si="1"/>
        <v>225.12953367875647</v>
      </c>
      <c r="I24" s="220">
        <f t="shared" si="2"/>
        <v>97.51444762385681</v>
      </c>
    </row>
    <row r="25" spans="1:9">
      <c r="A25" s="242"/>
      <c r="B25" s="246"/>
      <c r="C25" s="246" t="s">
        <v>552</v>
      </c>
      <c r="D25" s="247"/>
      <c r="E25" s="234"/>
      <c r="F25" s="235"/>
      <c r="G25" s="236"/>
      <c r="H25" s="219"/>
      <c r="I25" s="220"/>
    </row>
    <row r="26" spans="1:9" ht="15.75" thickBot="1">
      <c r="A26" s="242"/>
      <c r="B26" s="241"/>
      <c r="C26" s="214" t="s">
        <v>287</v>
      </c>
      <c r="D26" s="214" t="s">
        <v>12</v>
      </c>
      <c r="E26" s="234">
        <v>772</v>
      </c>
      <c r="F26" s="235">
        <v>1782.3</v>
      </c>
      <c r="G26" s="236">
        <v>1738</v>
      </c>
      <c r="H26" s="248">
        <f t="shared" si="1"/>
        <v>225.12953367875647</v>
      </c>
      <c r="I26" s="249">
        <f t="shared" si="2"/>
        <v>97.51444762385681</v>
      </c>
    </row>
    <row r="27" spans="1:9" ht="16.5" thickBot="1">
      <c r="A27" s="951" t="s">
        <v>16</v>
      </c>
      <c r="B27" s="952"/>
      <c r="C27" s="953"/>
      <c r="D27" s="250"/>
      <c r="E27" s="251">
        <f>E19+E16+E24</f>
        <v>1572</v>
      </c>
      <c r="F27" s="252">
        <f>F19+F16+F24</f>
        <v>2582.3000000000002</v>
      </c>
      <c r="G27" s="251">
        <f>G19+G16+G24</f>
        <v>2137</v>
      </c>
      <c r="H27" s="253">
        <f t="shared" si="1"/>
        <v>135.94147582697201</v>
      </c>
      <c r="I27" s="254">
        <f t="shared" si="2"/>
        <v>82.755682918328617</v>
      </c>
    </row>
    <row r="28" spans="1:9" ht="15.75">
      <c r="A28" s="255"/>
      <c r="B28" s="256"/>
      <c r="C28" s="257"/>
      <c r="D28" s="256"/>
      <c r="F28" s="54"/>
      <c r="I28" s="258"/>
    </row>
    <row r="29" spans="1:9" ht="15.75" thickBot="1">
      <c r="I29" s="101"/>
    </row>
    <row r="30" spans="1:9">
      <c r="A30" s="171" t="s">
        <v>1</v>
      </c>
      <c r="B30" s="64" t="s">
        <v>2</v>
      </c>
      <c r="C30" s="172" t="s">
        <v>3</v>
      </c>
      <c r="D30" s="142"/>
      <c r="E30" s="64" t="s">
        <v>4</v>
      </c>
      <c r="F30" s="64" t="s">
        <v>320</v>
      </c>
      <c r="G30" s="141" t="s">
        <v>314</v>
      </c>
      <c r="H30" s="64" t="s">
        <v>316</v>
      </c>
      <c r="I30" s="164" t="s">
        <v>316</v>
      </c>
    </row>
    <row r="31" spans="1:9">
      <c r="A31" s="173" t="s">
        <v>5</v>
      </c>
      <c r="B31" s="71" t="s">
        <v>6</v>
      </c>
      <c r="C31" s="174" t="s">
        <v>7</v>
      </c>
      <c r="D31" s="145" t="s">
        <v>8</v>
      </c>
      <c r="E31" s="71" t="s">
        <v>319</v>
      </c>
      <c r="F31" s="71" t="s">
        <v>321</v>
      </c>
      <c r="G31" s="144" t="s">
        <v>315</v>
      </c>
      <c r="H31" s="71" t="s">
        <v>317</v>
      </c>
      <c r="I31" s="139" t="s">
        <v>318</v>
      </c>
    </row>
    <row r="32" spans="1:9" ht="15.75" thickBot="1">
      <c r="A32" s="173" t="s">
        <v>9</v>
      </c>
      <c r="B32" s="71" t="s">
        <v>10</v>
      </c>
      <c r="C32" s="174"/>
      <c r="D32" s="145"/>
      <c r="E32" s="71" t="s">
        <v>291</v>
      </c>
      <c r="F32" s="71" t="str">
        <f>F14</f>
        <v>k 31.12.2019</v>
      </c>
      <c r="G32" s="114">
        <f>G14</f>
        <v>43830</v>
      </c>
      <c r="H32" s="166" t="s">
        <v>236</v>
      </c>
      <c r="I32" s="139" t="s">
        <v>236</v>
      </c>
    </row>
    <row r="33" spans="1:9" ht="15.75">
      <c r="A33" s="175" t="s">
        <v>334</v>
      </c>
      <c r="B33" s="176"/>
      <c r="C33" s="177"/>
      <c r="D33" s="178"/>
      <c r="E33" s="179"/>
      <c r="F33" s="180"/>
      <c r="G33" s="181"/>
      <c r="H33" s="182"/>
      <c r="I33" s="183"/>
    </row>
    <row r="34" spans="1:9">
      <c r="A34" s="259" t="s">
        <v>478</v>
      </c>
      <c r="B34" s="229" t="s">
        <v>450</v>
      </c>
      <c r="C34" s="260"/>
      <c r="D34" s="260"/>
      <c r="E34" s="261">
        <f>SUM(E35:E40)</f>
        <v>180</v>
      </c>
      <c r="F34" s="262">
        <f t="shared" ref="F34:G34" si="5">SUM(F35:F40)</f>
        <v>180</v>
      </c>
      <c r="G34" s="261">
        <f t="shared" si="5"/>
        <v>104</v>
      </c>
      <c r="H34" s="263">
        <f>G34/E34*100</f>
        <v>57.777777777777771</v>
      </c>
      <c r="I34" s="264">
        <f>G34/F34*100</f>
        <v>57.777777777777771</v>
      </c>
    </row>
    <row r="35" spans="1:9">
      <c r="A35" s="265"/>
      <c r="B35" s="266"/>
      <c r="C35" s="742" t="s">
        <v>335</v>
      </c>
      <c r="D35" s="685" t="s">
        <v>422</v>
      </c>
      <c r="E35" s="268">
        <v>30</v>
      </c>
      <c r="F35" s="269">
        <v>30</v>
      </c>
      <c r="G35" s="270">
        <v>0</v>
      </c>
      <c r="H35" s="271">
        <f t="shared" ref="H35:H45" si="6">G35/E35*100</f>
        <v>0</v>
      </c>
      <c r="I35" s="272">
        <f t="shared" ref="I35:I45" si="7">G35/F35*100</f>
        <v>0</v>
      </c>
    </row>
    <row r="36" spans="1:9">
      <c r="A36" s="265"/>
      <c r="B36" s="266"/>
      <c r="C36" s="742" t="s">
        <v>336</v>
      </c>
      <c r="D36" s="685" t="s">
        <v>422</v>
      </c>
      <c r="E36" s="268">
        <v>30</v>
      </c>
      <c r="F36" s="269">
        <v>30</v>
      </c>
      <c r="G36" s="270">
        <v>0</v>
      </c>
      <c r="H36" s="271">
        <f t="shared" si="6"/>
        <v>0</v>
      </c>
      <c r="I36" s="272">
        <f t="shared" si="7"/>
        <v>0</v>
      </c>
    </row>
    <row r="37" spans="1:9">
      <c r="A37" s="265"/>
      <c r="B37" s="266"/>
      <c r="C37" s="742" t="s">
        <v>337</v>
      </c>
      <c r="D37" s="685" t="s">
        <v>422</v>
      </c>
      <c r="E37" s="268">
        <v>30</v>
      </c>
      <c r="F37" s="269">
        <v>30</v>
      </c>
      <c r="G37" s="270">
        <v>21</v>
      </c>
      <c r="H37" s="271">
        <f t="shared" si="6"/>
        <v>70</v>
      </c>
      <c r="I37" s="272">
        <f t="shared" si="7"/>
        <v>70</v>
      </c>
    </row>
    <row r="38" spans="1:9">
      <c r="A38" s="265"/>
      <c r="B38" s="266"/>
      <c r="C38" s="742" t="s">
        <v>338</v>
      </c>
      <c r="D38" s="685" t="s">
        <v>422</v>
      </c>
      <c r="E38" s="268">
        <v>30</v>
      </c>
      <c r="F38" s="269">
        <v>25</v>
      </c>
      <c r="G38" s="270">
        <v>21</v>
      </c>
      <c r="H38" s="271">
        <f t="shared" si="6"/>
        <v>70</v>
      </c>
      <c r="I38" s="272">
        <f t="shared" si="7"/>
        <v>84</v>
      </c>
    </row>
    <row r="39" spans="1:9">
      <c r="A39" s="265"/>
      <c r="B39" s="266"/>
      <c r="C39" s="742" t="s">
        <v>339</v>
      </c>
      <c r="D39" s="685" t="s">
        <v>422</v>
      </c>
      <c r="E39" s="268">
        <v>30</v>
      </c>
      <c r="F39" s="269">
        <v>32.5</v>
      </c>
      <c r="G39" s="270">
        <v>31</v>
      </c>
      <c r="H39" s="271">
        <f t="shared" si="6"/>
        <v>103.33333333333334</v>
      </c>
      <c r="I39" s="272">
        <f t="shared" si="7"/>
        <v>95.384615384615387</v>
      </c>
    </row>
    <row r="40" spans="1:9">
      <c r="A40" s="265"/>
      <c r="B40" s="266"/>
      <c r="C40" s="742" t="s">
        <v>340</v>
      </c>
      <c r="D40" s="685" t="s">
        <v>422</v>
      </c>
      <c r="E40" s="268">
        <v>30</v>
      </c>
      <c r="F40" s="269">
        <v>32.5</v>
      </c>
      <c r="G40" s="270">
        <v>31</v>
      </c>
      <c r="H40" s="271">
        <f t="shared" si="6"/>
        <v>103.33333333333334</v>
      </c>
      <c r="I40" s="272">
        <f t="shared" si="7"/>
        <v>95.384615384615387</v>
      </c>
    </row>
    <row r="41" spans="1:9">
      <c r="A41" s="265"/>
      <c r="B41" s="266"/>
      <c r="C41" s="742"/>
      <c r="D41" s="685"/>
      <c r="E41" s="268"/>
      <c r="F41" s="269"/>
      <c r="G41" s="270"/>
      <c r="H41" s="271"/>
      <c r="I41" s="272"/>
    </row>
    <row r="42" spans="1:9">
      <c r="A42" s="273" t="s">
        <v>13</v>
      </c>
      <c r="B42" s="944" t="s">
        <v>218</v>
      </c>
      <c r="C42" s="944"/>
      <c r="D42" s="266"/>
      <c r="E42" s="274">
        <f>SUM(E44)</f>
        <v>2026</v>
      </c>
      <c r="F42" s="274">
        <f>SUM(F44)</f>
        <v>1058</v>
      </c>
      <c r="G42" s="274">
        <f>SUM(G44)</f>
        <v>249</v>
      </c>
      <c r="H42" s="263">
        <f>G42/E42*100</f>
        <v>12.290227048371175</v>
      </c>
      <c r="I42" s="264">
        <f>G42/F42*100</f>
        <v>23.534971644612476</v>
      </c>
    </row>
    <row r="43" spans="1:9">
      <c r="A43" s="265"/>
      <c r="B43" s="275"/>
      <c r="C43" s="246" t="s">
        <v>552</v>
      </c>
      <c r="D43" s="266"/>
      <c r="E43" s="274"/>
      <c r="F43" s="276"/>
      <c r="G43" s="274"/>
      <c r="H43" s="263"/>
      <c r="I43" s="238"/>
    </row>
    <row r="44" spans="1:9" ht="15.75" thickBot="1">
      <c r="A44" s="265"/>
      <c r="B44" s="266"/>
      <c r="C44" s="267" t="s">
        <v>341</v>
      </c>
      <c r="D44" s="266" t="s">
        <v>12</v>
      </c>
      <c r="E44" s="268">
        <v>2026</v>
      </c>
      <c r="F44" s="269">
        <v>1058</v>
      </c>
      <c r="G44" s="270">
        <v>249</v>
      </c>
      <c r="H44" s="271">
        <f t="shared" si="6"/>
        <v>12.290227048371175</v>
      </c>
      <c r="I44" s="272">
        <f t="shared" si="7"/>
        <v>23.534971644612476</v>
      </c>
    </row>
    <row r="45" spans="1:9" ht="16.5" thickBot="1">
      <c r="A45" s="277" t="s">
        <v>411</v>
      </c>
      <c r="B45" s="278"/>
      <c r="C45" s="279"/>
      <c r="D45" s="250"/>
      <c r="E45" s="251">
        <f>E34+E42</f>
        <v>2206</v>
      </c>
      <c r="F45" s="252">
        <f>F34+F42</f>
        <v>1238</v>
      </c>
      <c r="G45" s="251">
        <f>G34+G42</f>
        <v>353</v>
      </c>
      <c r="H45" s="253">
        <f t="shared" si="6"/>
        <v>16.001813236627381</v>
      </c>
      <c r="I45" s="254">
        <f t="shared" si="7"/>
        <v>28.513731825525042</v>
      </c>
    </row>
    <row r="46" spans="1:9" ht="16.5" thickBot="1">
      <c r="A46" s="280"/>
      <c r="B46" s="281"/>
      <c r="F46" s="54"/>
    </row>
    <row r="47" spans="1:9" ht="16.5" thickBot="1">
      <c r="A47" s="277" t="s">
        <v>412</v>
      </c>
      <c r="B47" s="278"/>
      <c r="C47" s="279"/>
      <c r="D47" s="250"/>
      <c r="E47" s="251">
        <f>E27+E45</f>
        <v>3778</v>
      </c>
      <c r="F47" s="252">
        <f>F27+F45</f>
        <v>3820.3</v>
      </c>
      <c r="G47" s="251">
        <f>G27+G45</f>
        <v>2490</v>
      </c>
      <c r="H47" s="253">
        <f t="shared" ref="H47" si="8">G47/E47*100</f>
        <v>65.907887771307571</v>
      </c>
      <c r="I47" s="254">
        <f t="shared" ref="I47" si="9">G47/F47*100</f>
        <v>65.178127372195888</v>
      </c>
    </row>
  </sheetData>
  <mergeCells count="9">
    <mergeCell ref="B42:C42"/>
    <mergeCell ref="B19:D19"/>
    <mergeCell ref="A5:I5"/>
    <mergeCell ref="A7:I7"/>
    <mergeCell ref="A8:I8"/>
    <mergeCell ref="A9:I9"/>
    <mergeCell ref="A10:I10"/>
    <mergeCell ref="A27:C27"/>
    <mergeCell ref="B24:D24"/>
  </mergeCells>
  <printOptions horizontalCentered="1"/>
  <pageMargins left="0.82677165354330717" right="0" top="0.11811023622047245" bottom="0" header="0" footer="0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K53"/>
  <sheetViews>
    <sheetView zoomScaleNormal="100" workbookViewId="0">
      <selection activeCell="A4" sqref="A4:I16"/>
    </sheetView>
  </sheetViews>
  <sheetFormatPr defaultRowHeight="15"/>
  <cols>
    <col min="1" max="2" width="11.28515625" style="17" customWidth="1"/>
    <col min="3" max="3" width="52.28515625" style="17" customWidth="1"/>
    <col min="4" max="4" width="37.7109375" style="17" customWidth="1"/>
    <col min="5" max="5" width="16.42578125" style="17" customWidth="1"/>
    <col min="6" max="6" width="16.42578125" style="54" customWidth="1"/>
    <col min="7" max="7" width="16.42578125" style="17" customWidth="1"/>
    <col min="8" max="9" width="10.7109375" style="17" customWidth="1"/>
    <col min="10" max="16384" width="9.140625" style="17"/>
  </cols>
  <sheetData>
    <row r="2" spans="1:9" ht="15.75">
      <c r="A2" s="221" t="s">
        <v>17</v>
      </c>
      <c r="B2" s="223"/>
      <c r="C2" s="223"/>
      <c r="D2" s="58"/>
    </row>
    <row r="3" spans="1:9" ht="15.75" thickBot="1">
      <c r="A3" s="223"/>
      <c r="B3" s="223"/>
      <c r="C3" s="223"/>
      <c r="D3" s="58" t="s">
        <v>18</v>
      </c>
      <c r="F3" s="106"/>
      <c r="I3" s="59" t="s">
        <v>521</v>
      </c>
    </row>
    <row r="4" spans="1:9">
      <c r="A4" s="140" t="s">
        <v>1</v>
      </c>
      <c r="B4" s="64" t="s">
        <v>2</v>
      </c>
      <c r="C4" s="141" t="s">
        <v>3</v>
      </c>
      <c r="D4" s="142"/>
      <c r="E4" s="64" t="s">
        <v>4</v>
      </c>
      <c r="F4" s="64" t="s">
        <v>320</v>
      </c>
      <c r="G4" s="141" t="s">
        <v>314</v>
      </c>
      <c r="H4" s="64" t="s">
        <v>316</v>
      </c>
      <c r="I4" s="164" t="s">
        <v>316</v>
      </c>
    </row>
    <row r="5" spans="1:9">
      <c r="A5" s="143" t="s">
        <v>5</v>
      </c>
      <c r="B5" s="71" t="s">
        <v>6</v>
      </c>
      <c r="C5" s="144" t="s">
        <v>7</v>
      </c>
      <c r="D5" s="145" t="s">
        <v>8</v>
      </c>
      <c r="E5" s="71" t="s">
        <v>319</v>
      </c>
      <c r="F5" s="71" t="s">
        <v>321</v>
      </c>
      <c r="G5" s="144" t="s">
        <v>315</v>
      </c>
      <c r="H5" s="71" t="s">
        <v>317</v>
      </c>
      <c r="I5" s="139" t="s">
        <v>318</v>
      </c>
    </row>
    <row r="6" spans="1:9" ht="15.75" thickBot="1">
      <c r="A6" s="146" t="s">
        <v>9</v>
      </c>
      <c r="B6" s="78" t="s">
        <v>10</v>
      </c>
      <c r="C6" s="147"/>
      <c r="D6" s="148"/>
      <c r="E6" s="71" t="s">
        <v>291</v>
      </c>
      <c r="F6" s="71" t="str">
        <f>Kap.01!F14</f>
        <v>k 31.12.2019</v>
      </c>
      <c r="G6" s="114">
        <f>Kap.01!G14</f>
        <v>43830</v>
      </c>
      <c r="H6" s="166" t="s">
        <v>236</v>
      </c>
      <c r="I6" s="139" t="s">
        <v>236</v>
      </c>
    </row>
    <row r="7" spans="1:9" ht="15.75">
      <c r="A7" s="184" t="s">
        <v>11</v>
      </c>
      <c r="B7" s="185"/>
      <c r="C7" s="186"/>
      <c r="D7" s="187"/>
      <c r="E7" s="188"/>
      <c r="F7" s="189"/>
      <c r="G7" s="190"/>
      <c r="H7" s="86"/>
      <c r="I7" s="170"/>
    </row>
    <row r="8" spans="1:9">
      <c r="A8" s="282" t="s">
        <v>19</v>
      </c>
      <c r="B8" s="283" t="s">
        <v>290</v>
      </c>
      <c r="C8" s="284"/>
      <c r="D8" s="284"/>
      <c r="E8" s="285">
        <f>SUM(E9+E10+E11+E12+E13+E14+E15+E16)</f>
        <v>83108</v>
      </c>
      <c r="F8" s="286">
        <f>SUM(F9+F10+F11+F12+F13+F14+F15+F16)</f>
        <v>89921.599999999991</v>
      </c>
      <c r="G8" s="285">
        <f>SUM(G9+G10+G11+G12+G13+G14+G15+G16)</f>
        <v>79662</v>
      </c>
      <c r="H8" s="219">
        <f>G8/E8*100</f>
        <v>95.853588102228429</v>
      </c>
      <c r="I8" s="220">
        <f>G8/F8*100</f>
        <v>88.590505507019458</v>
      </c>
    </row>
    <row r="9" spans="1:9">
      <c r="A9" s="940"/>
      <c r="B9" s="287"/>
      <c r="C9" s="287" t="s">
        <v>20</v>
      </c>
      <c r="D9" s="287" t="s">
        <v>21</v>
      </c>
      <c r="E9" s="288">
        <v>13650</v>
      </c>
      <c r="F9" s="235">
        <v>7850</v>
      </c>
      <c r="G9" s="236">
        <v>7527</v>
      </c>
      <c r="H9" s="237">
        <f t="shared" ref="H9:H17" si="0">G9/E9*100</f>
        <v>55.142857142857139</v>
      </c>
      <c r="I9" s="238">
        <f t="shared" ref="I9:I17" si="1">G9/F9*100</f>
        <v>95.885350318471339</v>
      </c>
    </row>
    <row r="10" spans="1:9">
      <c r="A10" s="289"/>
      <c r="B10" s="287"/>
      <c r="C10" s="287" t="s">
        <v>232</v>
      </c>
      <c r="D10" s="287" t="s">
        <v>22</v>
      </c>
      <c r="E10" s="288">
        <v>4500</v>
      </c>
      <c r="F10" s="235">
        <v>1800</v>
      </c>
      <c r="G10" s="236">
        <v>1430</v>
      </c>
      <c r="H10" s="237">
        <f t="shared" si="0"/>
        <v>31.777777777777779</v>
      </c>
      <c r="I10" s="238">
        <f t="shared" si="1"/>
        <v>79.444444444444443</v>
      </c>
    </row>
    <row r="11" spans="1:9">
      <c r="A11" s="289"/>
      <c r="B11" s="287"/>
      <c r="C11" s="287" t="s">
        <v>253</v>
      </c>
      <c r="D11" s="287" t="s">
        <v>22</v>
      </c>
      <c r="E11" s="288">
        <v>2000</v>
      </c>
      <c r="F11" s="235">
        <v>2000</v>
      </c>
      <c r="G11" s="236">
        <v>1908</v>
      </c>
      <c r="H11" s="237">
        <f t="shared" si="0"/>
        <v>95.399999999999991</v>
      </c>
      <c r="I11" s="238">
        <f t="shared" si="1"/>
        <v>95.399999999999991</v>
      </c>
    </row>
    <row r="12" spans="1:9">
      <c r="A12" s="289"/>
      <c r="B12" s="287"/>
      <c r="C12" s="287" t="s">
        <v>23</v>
      </c>
      <c r="D12" s="287" t="s">
        <v>24</v>
      </c>
      <c r="E12" s="288">
        <v>1260</v>
      </c>
      <c r="F12" s="235">
        <v>1010</v>
      </c>
      <c r="G12" s="236">
        <v>584</v>
      </c>
      <c r="H12" s="237">
        <f t="shared" si="0"/>
        <v>46.349206349206348</v>
      </c>
      <c r="I12" s="238">
        <f t="shared" si="1"/>
        <v>57.821782178217816</v>
      </c>
    </row>
    <row r="13" spans="1:9">
      <c r="A13" s="290"/>
      <c r="B13" s="291"/>
      <c r="C13" s="287" t="s">
        <v>288</v>
      </c>
      <c r="D13" s="287" t="s">
        <v>25</v>
      </c>
      <c r="E13" s="288">
        <v>52248</v>
      </c>
      <c r="F13" s="235">
        <v>64130.7</v>
      </c>
      <c r="G13" s="236">
        <v>57790</v>
      </c>
      <c r="H13" s="237">
        <f t="shared" si="0"/>
        <v>110.60710457816567</v>
      </c>
      <c r="I13" s="238">
        <f t="shared" si="1"/>
        <v>90.112847668901168</v>
      </c>
    </row>
    <row r="14" spans="1:9">
      <c r="A14" s="290"/>
      <c r="B14" s="292"/>
      <c r="C14" s="293" t="s">
        <v>252</v>
      </c>
      <c r="D14" s="293" t="s">
        <v>26</v>
      </c>
      <c r="E14" s="288">
        <v>6300</v>
      </c>
      <c r="F14" s="235">
        <v>6300</v>
      </c>
      <c r="G14" s="236">
        <v>3935</v>
      </c>
      <c r="H14" s="237">
        <f t="shared" si="0"/>
        <v>62.460317460317462</v>
      </c>
      <c r="I14" s="238">
        <f t="shared" si="1"/>
        <v>62.460317460317462</v>
      </c>
    </row>
    <row r="15" spans="1:9">
      <c r="A15" s="294"/>
      <c r="B15" s="292"/>
      <c r="C15" s="293" t="s">
        <v>269</v>
      </c>
      <c r="D15" s="295" t="s">
        <v>138</v>
      </c>
      <c r="E15" s="288">
        <v>3150</v>
      </c>
      <c r="F15" s="235">
        <v>3150</v>
      </c>
      <c r="G15" s="236">
        <v>2874</v>
      </c>
      <c r="H15" s="296">
        <f t="shared" si="0"/>
        <v>91.238095238095241</v>
      </c>
      <c r="I15" s="297">
        <f t="shared" si="1"/>
        <v>91.238095238095241</v>
      </c>
    </row>
    <row r="16" spans="1:9" ht="15.75" thickBot="1">
      <c r="A16" s="941"/>
      <c r="B16" s="298"/>
      <c r="C16" s="299" t="s">
        <v>437</v>
      </c>
      <c r="D16" s="300" t="s">
        <v>31</v>
      </c>
      <c r="E16" s="942">
        <v>0</v>
      </c>
      <c r="F16" s="943">
        <v>3680.9</v>
      </c>
      <c r="G16" s="899">
        <v>3614</v>
      </c>
      <c r="H16" s="925" t="s">
        <v>557</v>
      </c>
      <c r="I16" s="406">
        <f t="shared" si="1"/>
        <v>98.182509712298611</v>
      </c>
    </row>
    <row r="17" spans="1:11" ht="16.5" customHeight="1" thickBot="1">
      <c r="A17" s="954" t="s">
        <v>16</v>
      </c>
      <c r="B17" s="955"/>
      <c r="C17" s="956"/>
      <c r="D17" s="301"/>
      <c r="E17" s="302">
        <f>E8</f>
        <v>83108</v>
      </c>
      <c r="F17" s="303">
        <f t="shared" ref="F17:G17" si="2">F8</f>
        <v>89921.599999999991</v>
      </c>
      <c r="G17" s="302">
        <f t="shared" si="2"/>
        <v>79662</v>
      </c>
      <c r="H17" s="253">
        <f t="shared" si="0"/>
        <v>95.853588102228429</v>
      </c>
      <c r="I17" s="254">
        <f t="shared" si="1"/>
        <v>88.590505507019458</v>
      </c>
    </row>
    <row r="18" spans="1:11" ht="16.5" customHeight="1">
      <c r="A18" s="304"/>
      <c r="B18" s="304"/>
      <c r="C18" s="304"/>
      <c r="D18" s="305"/>
      <c r="E18" s="258"/>
      <c r="F18" s="306"/>
      <c r="G18" s="258"/>
      <c r="H18" s="307"/>
      <c r="I18" s="308"/>
    </row>
    <row r="19" spans="1:11" ht="15.75" thickBot="1"/>
    <row r="20" spans="1:11">
      <c r="A20" s="140" t="s">
        <v>1</v>
      </c>
      <c r="B20" s="64" t="s">
        <v>2</v>
      </c>
      <c r="C20" s="141" t="s">
        <v>3</v>
      </c>
      <c r="D20" s="142"/>
      <c r="E20" s="64" t="s">
        <v>4</v>
      </c>
      <c r="F20" s="64" t="s">
        <v>320</v>
      </c>
      <c r="G20" s="141" t="s">
        <v>314</v>
      </c>
      <c r="H20" s="64" t="s">
        <v>316</v>
      </c>
      <c r="I20" s="164" t="s">
        <v>316</v>
      </c>
      <c r="K20" s="55"/>
    </row>
    <row r="21" spans="1:11">
      <c r="A21" s="143" t="s">
        <v>5</v>
      </c>
      <c r="B21" s="71" t="s">
        <v>6</v>
      </c>
      <c r="C21" s="144" t="s">
        <v>7</v>
      </c>
      <c r="D21" s="145" t="s">
        <v>8</v>
      </c>
      <c r="E21" s="71" t="s">
        <v>319</v>
      </c>
      <c r="F21" s="71" t="s">
        <v>321</v>
      </c>
      <c r="G21" s="144" t="s">
        <v>315</v>
      </c>
      <c r="H21" s="71" t="s">
        <v>317</v>
      </c>
      <c r="I21" s="139" t="s">
        <v>318</v>
      </c>
    </row>
    <row r="22" spans="1:11" ht="15.75" thickBot="1">
      <c r="A22" s="146" t="s">
        <v>9</v>
      </c>
      <c r="B22" s="78" t="s">
        <v>10</v>
      </c>
      <c r="C22" s="147"/>
      <c r="D22" s="148"/>
      <c r="E22" s="71" t="s">
        <v>291</v>
      </c>
      <c r="F22" s="71" t="str">
        <f>Kap.01!F14</f>
        <v>k 31.12.2019</v>
      </c>
      <c r="G22" s="114">
        <f>Kap.01!G14</f>
        <v>43830</v>
      </c>
      <c r="H22" s="166" t="s">
        <v>236</v>
      </c>
      <c r="I22" s="139" t="s">
        <v>236</v>
      </c>
    </row>
    <row r="23" spans="1:11" ht="15.75">
      <c r="A23" s="184" t="s">
        <v>334</v>
      </c>
      <c r="B23" s="185"/>
      <c r="C23" s="186"/>
      <c r="D23" s="187"/>
      <c r="E23" s="188"/>
      <c r="F23" s="189"/>
      <c r="G23" s="190"/>
      <c r="H23" s="86"/>
      <c r="I23" s="170"/>
    </row>
    <row r="24" spans="1:11">
      <c r="A24" s="309" t="s">
        <v>19</v>
      </c>
      <c r="B24" s="310" t="s">
        <v>290</v>
      </c>
      <c r="C24" s="311"/>
      <c r="D24" s="311"/>
      <c r="E24" s="312">
        <f>SUM(E25:E46)</f>
        <v>27886</v>
      </c>
      <c r="F24" s="313">
        <f>SUM(F25:F46)</f>
        <v>32290</v>
      </c>
      <c r="G24" s="312">
        <f>SUM(G25:G46)</f>
        <v>20877</v>
      </c>
      <c r="H24" s="314">
        <f>G24/E24*100</f>
        <v>74.865523918812301</v>
      </c>
      <c r="I24" s="210">
        <f>G24/F24*100</f>
        <v>64.65469185506349</v>
      </c>
      <c r="J24" s="191"/>
    </row>
    <row r="25" spans="1:11" s="123" customFormat="1">
      <c r="A25" s="315"/>
      <c r="B25" s="316"/>
      <c r="C25" s="397" t="s">
        <v>342</v>
      </c>
      <c r="D25" s="738" t="s">
        <v>25</v>
      </c>
      <c r="E25" s="689">
        <v>420</v>
      </c>
      <c r="F25" s="739">
        <v>420</v>
      </c>
      <c r="G25" s="740">
        <v>0</v>
      </c>
      <c r="H25" s="741">
        <f t="shared" ref="H25:H41" si="3">G25/E25*100</f>
        <v>0</v>
      </c>
      <c r="I25" s="704">
        <f t="shared" ref="I25:I46" si="4">G25/F25*100</f>
        <v>0</v>
      </c>
    </row>
    <row r="26" spans="1:11" s="123" customFormat="1">
      <c r="A26" s="315"/>
      <c r="B26" s="316"/>
      <c r="C26" s="397" t="s">
        <v>343</v>
      </c>
      <c r="D26" s="738" t="s">
        <v>25</v>
      </c>
      <c r="E26" s="689">
        <v>180</v>
      </c>
      <c r="F26" s="739">
        <v>180</v>
      </c>
      <c r="G26" s="740">
        <v>26</v>
      </c>
      <c r="H26" s="741">
        <f t="shared" si="3"/>
        <v>14.444444444444443</v>
      </c>
      <c r="I26" s="704">
        <f t="shared" si="4"/>
        <v>14.444444444444443</v>
      </c>
    </row>
    <row r="27" spans="1:11" s="123" customFormat="1">
      <c r="A27" s="315"/>
      <c r="B27" s="316"/>
      <c r="C27" s="397" t="s">
        <v>344</v>
      </c>
      <c r="D27" s="738" t="s">
        <v>25</v>
      </c>
      <c r="E27" s="689">
        <v>1339</v>
      </c>
      <c r="F27" s="739">
        <v>1330.5</v>
      </c>
      <c r="G27" s="740">
        <v>0</v>
      </c>
      <c r="H27" s="741">
        <f t="shared" si="3"/>
        <v>0</v>
      </c>
      <c r="I27" s="704">
        <f t="shared" si="4"/>
        <v>0</v>
      </c>
    </row>
    <row r="28" spans="1:11" s="123" customFormat="1">
      <c r="A28" s="315"/>
      <c r="B28" s="316"/>
      <c r="C28" s="397" t="s">
        <v>345</v>
      </c>
      <c r="D28" s="738" t="s">
        <v>25</v>
      </c>
      <c r="E28" s="689">
        <v>2480</v>
      </c>
      <c r="F28" s="739">
        <v>2434.5</v>
      </c>
      <c r="G28" s="740">
        <v>281</v>
      </c>
      <c r="H28" s="741">
        <f t="shared" si="3"/>
        <v>11.330645161290324</v>
      </c>
      <c r="I28" s="704">
        <f t="shared" si="4"/>
        <v>11.542411172725405</v>
      </c>
    </row>
    <row r="29" spans="1:11" s="123" customFormat="1">
      <c r="A29" s="315"/>
      <c r="B29" s="316"/>
      <c r="C29" s="397" t="s">
        <v>346</v>
      </c>
      <c r="D29" s="738" t="s">
        <v>25</v>
      </c>
      <c r="E29" s="689">
        <v>13500</v>
      </c>
      <c r="F29" s="739">
        <v>13500</v>
      </c>
      <c r="G29" s="740">
        <v>11896</v>
      </c>
      <c r="H29" s="741">
        <f t="shared" si="3"/>
        <v>88.118518518518513</v>
      </c>
      <c r="I29" s="704">
        <f t="shared" si="4"/>
        <v>88.118518518518513</v>
      </c>
      <c r="K29" s="322"/>
    </row>
    <row r="30" spans="1:11" s="123" customFormat="1">
      <c r="A30" s="315"/>
      <c r="B30" s="316"/>
      <c r="C30" s="397" t="s">
        <v>347</v>
      </c>
      <c r="D30" s="738" t="s">
        <v>25</v>
      </c>
      <c r="E30" s="689">
        <v>130</v>
      </c>
      <c r="F30" s="739">
        <v>130</v>
      </c>
      <c r="G30" s="740">
        <v>0</v>
      </c>
      <c r="H30" s="741">
        <f t="shared" si="3"/>
        <v>0</v>
      </c>
      <c r="I30" s="704">
        <f t="shared" si="4"/>
        <v>0</v>
      </c>
    </row>
    <row r="31" spans="1:11" s="123" customFormat="1">
      <c r="A31" s="315"/>
      <c r="B31" s="316"/>
      <c r="C31" s="397" t="s">
        <v>348</v>
      </c>
      <c r="D31" s="738" t="s">
        <v>25</v>
      </c>
      <c r="E31" s="689">
        <v>43</v>
      </c>
      <c r="F31" s="739">
        <v>43</v>
      </c>
      <c r="G31" s="740">
        <v>0</v>
      </c>
      <c r="H31" s="741">
        <f t="shared" si="3"/>
        <v>0</v>
      </c>
      <c r="I31" s="704">
        <f t="shared" si="4"/>
        <v>0</v>
      </c>
    </row>
    <row r="32" spans="1:11" s="123" customFormat="1">
      <c r="A32" s="315"/>
      <c r="B32" s="316"/>
      <c r="C32" s="397" t="s">
        <v>349</v>
      </c>
      <c r="D32" s="738" t="s">
        <v>25</v>
      </c>
      <c r="E32" s="689">
        <v>61</v>
      </c>
      <c r="F32" s="739">
        <v>106.5</v>
      </c>
      <c r="G32" s="740">
        <v>76</v>
      </c>
      <c r="H32" s="741">
        <f t="shared" si="3"/>
        <v>124.59016393442623</v>
      </c>
      <c r="I32" s="704">
        <f t="shared" si="4"/>
        <v>71.36150234741784</v>
      </c>
    </row>
    <row r="33" spans="1:9" s="123" customFormat="1">
      <c r="A33" s="315"/>
      <c r="B33" s="316"/>
      <c r="C33" s="397" t="s">
        <v>350</v>
      </c>
      <c r="D33" s="738" t="s">
        <v>25</v>
      </c>
      <c r="E33" s="689">
        <v>19</v>
      </c>
      <c r="F33" s="739">
        <v>19</v>
      </c>
      <c r="G33" s="740">
        <v>0</v>
      </c>
      <c r="H33" s="741">
        <f t="shared" si="3"/>
        <v>0</v>
      </c>
      <c r="I33" s="704">
        <f t="shared" si="4"/>
        <v>0</v>
      </c>
    </row>
    <row r="34" spans="1:9" s="123" customFormat="1">
      <c r="A34" s="315"/>
      <c r="B34" s="316"/>
      <c r="C34" s="397" t="s">
        <v>351</v>
      </c>
      <c r="D34" s="738" t="s">
        <v>25</v>
      </c>
      <c r="E34" s="689">
        <v>90</v>
      </c>
      <c r="F34" s="739">
        <v>98.5</v>
      </c>
      <c r="G34" s="740">
        <v>98</v>
      </c>
      <c r="H34" s="741">
        <f t="shared" si="3"/>
        <v>108.88888888888889</v>
      </c>
      <c r="I34" s="704">
        <f t="shared" si="4"/>
        <v>99.492385786802032</v>
      </c>
    </row>
    <row r="35" spans="1:9" s="123" customFormat="1">
      <c r="A35" s="315"/>
      <c r="B35" s="316"/>
      <c r="C35" s="397" t="s">
        <v>352</v>
      </c>
      <c r="D35" s="738" t="s">
        <v>25</v>
      </c>
      <c r="E35" s="689">
        <v>7</v>
      </c>
      <c r="F35" s="739">
        <v>7</v>
      </c>
      <c r="G35" s="740">
        <v>6</v>
      </c>
      <c r="H35" s="741">
        <f t="shared" si="3"/>
        <v>85.714285714285708</v>
      </c>
      <c r="I35" s="704">
        <f t="shared" si="4"/>
        <v>85.714285714285708</v>
      </c>
    </row>
    <row r="36" spans="1:9" s="123" customFormat="1">
      <c r="A36" s="315"/>
      <c r="B36" s="316"/>
      <c r="C36" s="397" t="s">
        <v>353</v>
      </c>
      <c r="D36" s="738" t="s">
        <v>25</v>
      </c>
      <c r="E36" s="689">
        <v>4080</v>
      </c>
      <c r="F36" s="739">
        <v>4080</v>
      </c>
      <c r="G36" s="740">
        <v>4011</v>
      </c>
      <c r="H36" s="741">
        <f t="shared" si="3"/>
        <v>98.308823529411754</v>
      </c>
      <c r="I36" s="704">
        <f t="shared" si="4"/>
        <v>98.308823529411754</v>
      </c>
    </row>
    <row r="37" spans="1:9" s="123" customFormat="1" ht="26.25">
      <c r="A37" s="315"/>
      <c r="B37" s="316"/>
      <c r="C37" s="397" t="s">
        <v>354</v>
      </c>
      <c r="D37" s="738" t="s">
        <v>25</v>
      </c>
      <c r="E37" s="689">
        <v>1681</v>
      </c>
      <c r="F37" s="739">
        <v>1681</v>
      </c>
      <c r="G37" s="740">
        <v>1582</v>
      </c>
      <c r="H37" s="741">
        <f t="shared" si="3"/>
        <v>94.110648423557407</v>
      </c>
      <c r="I37" s="704">
        <f t="shared" si="4"/>
        <v>94.110648423557407</v>
      </c>
    </row>
    <row r="38" spans="1:9" s="123" customFormat="1" ht="26.25">
      <c r="A38" s="315"/>
      <c r="B38" s="316"/>
      <c r="C38" s="397" t="s">
        <v>355</v>
      </c>
      <c r="D38" s="738" t="s">
        <v>25</v>
      </c>
      <c r="E38" s="689">
        <v>300</v>
      </c>
      <c r="F38" s="739">
        <v>300</v>
      </c>
      <c r="G38" s="740">
        <v>153</v>
      </c>
      <c r="H38" s="741">
        <f t="shared" si="3"/>
        <v>51</v>
      </c>
      <c r="I38" s="704">
        <f t="shared" si="4"/>
        <v>51</v>
      </c>
    </row>
    <row r="39" spans="1:9" s="123" customFormat="1">
      <c r="A39" s="315"/>
      <c r="B39" s="316"/>
      <c r="C39" s="397" t="s">
        <v>356</v>
      </c>
      <c r="D39" s="738" t="s">
        <v>25</v>
      </c>
      <c r="E39" s="689">
        <v>26</v>
      </c>
      <c r="F39" s="739">
        <v>26</v>
      </c>
      <c r="G39" s="740">
        <v>0</v>
      </c>
      <c r="H39" s="741">
        <f t="shared" si="3"/>
        <v>0</v>
      </c>
      <c r="I39" s="704">
        <f t="shared" si="4"/>
        <v>0</v>
      </c>
    </row>
    <row r="40" spans="1:9" s="123" customFormat="1">
      <c r="A40" s="315"/>
      <c r="B40" s="316"/>
      <c r="C40" s="397" t="s">
        <v>357</v>
      </c>
      <c r="D40" s="738" t="s">
        <v>25</v>
      </c>
      <c r="E40" s="689">
        <v>480</v>
      </c>
      <c r="F40" s="739">
        <v>480</v>
      </c>
      <c r="G40" s="740">
        <v>460</v>
      </c>
      <c r="H40" s="741">
        <f t="shared" si="3"/>
        <v>95.833333333333343</v>
      </c>
      <c r="I40" s="704">
        <f t="shared" si="4"/>
        <v>95.833333333333343</v>
      </c>
    </row>
    <row r="41" spans="1:9" s="123" customFormat="1">
      <c r="A41" s="315"/>
      <c r="B41" s="316"/>
      <c r="C41" s="397" t="s">
        <v>358</v>
      </c>
      <c r="D41" s="738" t="s">
        <v>25</v>
      </c>
      <c r="E41" s="701">
        <v>3050</v>
      </c>
      <c r="F41" s="702">
        <v>3050</v>
      </c>
      <c r="G41" s="740">
        <v>0</v>
      </c>
      <c r="H41" s="741">
        <f t="shared" si="3"/>
        <v>0</v>
      </c>
      <c r="I41" s="704">
        <f t="shared" si="4"/>
        <v>0</v>
      </c>
    </row>
    <row r="42" spans="1:9" s="123" customFormat="1">
      <c r="A42" s="315"/>
      <c r="B42" s="316"/>
      <c r="C42" s="397" t="s">
        <v>436</v>
      </c>
      <c r="D42" s="738" t="s">
        <v>25</v>
      </c>
      <c r="E42" s="701">
        <v>0</v>
      </c>
      <c r="F42" s="702">
        <v>236.7</v>
      </c>
      <c r="G42" s="740">
        <v>0</v>
      </c>
      <c r="H42" s="919" t="s">
        <v>557</v>
      </c>
      <c r="I42" s="704">
        <f t="shared" si="4"/>
        <v>0</v>
      </c>
    </row>
    <row r="43" spans="1:9" s="123" customFormat="1">
      <c r="A43" s="315"/>
      <c r="B43" s="316"/>
      <c r="C43" s="397" t="s">
        <v>435</v>
      </c>
      <c r="D43" s="738" t="s">
        <v>25</v>
      </c>
      <c r="E43" s="701">
        <v>0</v>
      </c>
      <c r="F43" s="702">
        <v>4000</v>
      </c>
      <c r="G43" s="740">
        <v>2123</v>
      </c>
      <c r="H43" s="919" t="s">
        <v>557</v>
      </c>
      <c r="I43" s="704">
        <f t="shared" ref="I43:I45" si="5">G43/F43*100</f>
        <v>53.075000000000003</v>
      </c>
    </row>
    <row r="44" spans="1:9" s="123" customFormat="1">
      <c r="A44" s="315"/>
      <c r="B44" s="316"/>
      <c r="C44" s="397" t="s">
        <v>447</v>
      </c>
      <c r="D44" s="738" t="s">
        <v>25</v>
      </c>
      <c r="E44" s="701">
        <v>0</v>
      </c>
      <c r="F44" s="702">
        <v>59.5</v>
      </c>
      <c r="G44" s="740">
        <v>59</v>
      </c>
      <c r="H44" s="919" t="s">
        <v>557</v>
      </c>
      <c r="I44" s="704">
        <f t="shared" si="5"/>
        <v>99.159663865546221</v>
      </c>
    </row>
    <row r="45" spans="1:9" s="123" customFormat="1">
      <c r="A45" s="315"/>
      <c r="B45" s="316"/>
      <c r="C45" s="397" t="s">
        <v>448</v>
      </c>
      <c r="D45" s="738" t="s">
        <v>25</v>
      </c>
      <c r="E45" s="701">
        <v>0</v>
      </c>
      <c r="F45" s="702">
        <v>59.2</v>
      </c>
      <c r="G45" s="740">
        <v>59</v>
      </c>
      <c r="H45" s="919" t="s">
        <v>557</v>
      </c>
      <c r="I45" s="704">
        <f t="shared" si="5"/>
        <v>99.662162162162161</v>
      </c>
    </row>
    <row r="46" spans="1:9" s="123" customFormat="1">
      <c r="A46" s="315"/>
      <c r="B46" s="316"/>
      <c r="C46" s="397" t="s">
        <v>446</v>
      </c>
      <c r="D46" s="738" t="s">
        <v>25</v>
      </c>
      <c r="E46" s="701">
        <v>0</v>
      </c>
      <c r="F46" s="702">
        <v>48.6</v>
      </c>
      <c r="G46" s="740">
        <v>47</v>
      </c>
      <c r="H46" s="919" t="s">
        <v>557</v>
      </c>
      <c r="I46" s="704">
        <f t="shared" si="4"/>
        <v>96.707818930041142</v>
      </c>
    </row>
    <row r="47" spans="1:9" s="123" customFormat="1">
      <c r="A47" s="325" t="s">
        <v>359</v>
      </c>
      <c r="B47" s="326" t="s">
        <v>218</v>
      </c>
      <c r="C47" s="327"/>
      <c r="D47" s="327"/>
      <c r="E47" s="328">
        <f>SUM(E48)</f>
        <v>1098</v>
      </c>
      <c r="F47" s="329">
        <f t="shared" ref="F47:G47" si="6">SUM(F48)</f>
        <v>5630.2</v>
      </c>
      <c r="G47" s="328">
        <f t="shared" si="6"/>
        <v>130</v>
      </c>
      <c r="H47" s="330">
        <f>G47/E47*100</f>
        <v>11.839708561020036</v>
      </c>
      <c r="I47" s="331">
        <f>G47/F47*100</f>
        <v>2.3089765905296438</v>
      </c>
    </row>
    <row r="48" spans="1:9" s="123" customFormat="1" ht="15" customHeight="1" thickBot="1">
      <c r="A48" s="315"/>
      <c r="B48" s="316"/>
      <c r="C48" s="397" t="s">
        <v>360</v>
      </c>
      <c r="D48" s="738" t="s">
        <v>25</v>
      </c>
      <c r="E48" s="701">
        <v>1098</v>
      </c>
      <c r="F48" s="702">
        <v>5630.2</v>
      </c>
      <c r="G48" s="740">
        <v>130</v>
      </c>
      <c r="H48" s="741">
        <f t="shared" ref="H48:H49" si="7">G48/E48*100</f>
        <v>11.839708561020036</v>
      </c>
      <c r="I48" s="704">
        <f t="shared" ref="I48:I49" si="8">G48/F48*100</f>
        <v>2.3089765905296438</v>
      </c>
    </row>
    <row r="49" spans="1:9" ht="16.5" customHeight="1" thickBot="1">
      <c r="A49" s="954" t="s">
        <v>411</v>
      </c>
      <c r="B49" s="955"/>
      <c r="C49" s="956"/>
      <c r="D49" s="301"/>
      <c r="E49" s="302">
        <f>E24+E47</f>
        <v>28984</v>
      </c>
      <c r="F49" s="303">
        <f t="shared" ref="F49:G49" si="9">F24+F47</f>
        <v>37920.199999999997</v>
      </c>
      <c r="G49" s="302">
        <f t="shared" si="9"/>
        <v>21007</v>
      </c>
      <c r="H49" s="253">
        <f t="shared" si="7"/>
        <v>72.477918851780288</v>
      </c>
      <c r="I49" s="254">
        <f t="shared" si="8"/>
        <v>55.397914567961152</v>
      </c>
    </row>
    <row r="50" spans="1:9" ht="15.75" thickBot="1"/>
    <row r="51" spans="1:9" ht="16.5" thickBot="1">
      <c r="A51" s="954" t="s">
        <v>413</v>
      </c>
      <c r="B51" s="955"/>
      <c r="C51" s="956"/>
      <c r="D51" s="301"/>
      <c r="E51" s="302">
        <f>E17+E49</f>
        <v>112092</v>
      </c>
      <c r="F51" s="303">
        <f>F17+F49</f>
        <v>127841.79999999999</v>
      </c>
      <c r="G51" s="302">
        <f>G17+G49</f>
        <v>100669</v>
      </c>
      <c r="H51" s="253">
        <f t="shared" ref="H51" si="10">G51/E51*100</f>
        <v>89.809263819005807</v>
      </c>
      <c r="I51" s="254">
        <f t="shared" ref="I51" si="11">G51/F51*100</f>
        <v>78.744980123871855</v>
      </c>
    </row>
    <row r="53" spans="1:9" ht="27" customHeight="1"/>
  </sheetData>
  <mergeCells count="3">
    <mergeCell ref="A17:C17"/>
    <mergeCell ref="A49:C49"/>
    <mergeCell ref="A51:C51"/>
  </mergeCells>
  <printOptions horizontalCentered="1"/>
  <pageMargins left="0.82677165354330717" right="0" top="0.11811023622047245" bottom="0" header="0" footer="0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2"/>
  <sheetViews>
    <sheetView zoomScaleNormal="100" workbookViewId="0">
      <selection activeCell="I28" sqref="I28"/>
    </sheetView>
  </sheetViews>
  <sheetFormatPr defaultRowHeight="15"/>
  <cols>
    <col min="1" max="2" width="11.28515625" customWidth="1"/>
    <col min="3" max="3" width="50.28515625" customWidth="1"/>
    <col min="4" max="4" width="39.85546875" customWidth="1"/>
    <col min="5" max="5" width="16.42578125" customWidth="1"/>
    <col min="6" max="6" width="16.42578125" style="34" customWidth="1"/>
    <col min="7" max="7" width="16.42578125" customWidth="1"/>
    <col min="8" max="9" width="10.7109375" customWidth="1"/>
  </cols>
  <sheetData>
    <row r="1" spans="1:10" ht="18">
      <c r="C1" s="2"/>
    </row>
    <row r="2" spans="1:10" ht="15.75">
      <c r="A2" s="1" t="s">
        <v>27</v>
      </c>
      <c r="H2" s="17"/>
    </row>
    <row r="3" spans="1:10" ht="16.5" thickBot="1">
      <c r="A3" s="3"/>
      <c r="B3" s="4"/>
      <c r="C3" s="3"/>
      <c r="D3" s="3"/>
      <c r="F3" s="35"/>
      <c r="I3" s="23" t="s">
        <v>520</v>
      </c>
    </row>
    <row r="4" spans="1:10">
      <c r="A4" s="11" t="s">
        <v>1</v>
      </c>
      <c r="B4" s="5" t="s">
        <v>2</v>
      </c>
      <c r="C4" s="12" t="s">
        <v>3</v>
      </c>
      <c r="D4" s="5"/>
      <c r="E4" s="5" t="s">
        <v>4</v>
      </c>
      <c r="F4" s="5" t="s">
        <v>320</v>
      </c>
      <c r="G4" s="12" t="s">
        <v>314</v>
      </c>
      <c r="H4" s="5" t="s">
        <v>316</v>
      </c>
      <c r="I4" s="18" t="s">
        <v>316</v>
      </c>
      <c r="J4" s="53"/>
    </row>
    <row r="5" spans="1:10">
      <c r="A5" s="13" t="s">
        <v>5</v>
      </c>
      <c r="B5" s="6" t="s">
        <v>6</v>
      </c>
      <c r="C5" s="14" t="s">
        <v>7</v>
      </c>
      <c r="D5" s="7" t="s">
        <v>8</v>
      </c>
      <c r="E5" s="6" t="s">
        <v>319</v>
      </c>
      <c r="F5" s="6" t="s">
        <v>321</v>
      </c>
      <c r="G5" s="14" t="s">
        <v>315</v>
      </c>
      <c r="H5" s="6" t="s">
        <v>317</v>
      </c>
      <c r="I5" s="19" t="s">
        <v>318</v>
      </c>
    </row>
    <row r="6" spans="1:10" ht="15.75" thickBot="1">
      <c r="A6" s="15" t="s">
        <v>9</v>
      </c>
      <c r="B6" s="8" t="s">
        <v>10</v>
      </c>
      <c r="C6" s="16"/>
      <c r="D6" s="9"/>
      <c r="E6" s="6" t="s">
        <v>291</v>
      </c>
      <c r="F6" s="6" t="str">
        <f>Kap.01!F14</f>
        <v>k 31.12.2019</v>
      </c>
      <c r="G6" s="30">
        <f>Kap.01!G14</f>
        <v>43830</v>
      </c>
      <c r="H6" s="29" t="s">
        <v>236</v>
      </c>
      <c r="I6" s="19" t="s">
        <v>236</v>
      </c>
    </row>
    <row r="7" spans="1:10" ht="15.75">
      <c r="A7" s="20" t="s">
        <v>11</v>
      </c>
      <c r="B7" s="21"/>
      <c r="C7" s="10"/>
      <c r="D7" s="22"/>
      <c r="E7" s="32"/>
      <c r="F7" s="33"/>
      <c r="G7" s="31"/>
      <c r="H7" s="36"/>
      <c r="I7" s="37"/>
    </row>
    <row r="8" spans="1:10">
      <c r="A8" s="309" t="s">
        <v>28</v>
      </c>
      <c r="B8" s="332" t="s">
        <v>29</v>
      </c>
      <c r="C8" s="333"/>
      <c r="D8" s="334"/>
      <c r="E8" s="335">
        <f>SUM(E9+E10+E11+E12+E13)</f>
        <v>8400</v>
      </c>
      <c r="F8" s="336">
        <f>SUM(F9+F10+F11+F12+F13)</f>
        <v>5486.1</v>
      </c>
      <c r="G8" s="335">
        <f t="shared" ref="G8" si="0">SUM(G9+G10+G11+G12+G13)</f>
        <v>3298</v>
      </c>
      <c r="H8" s="219">
        <f>G8/E8*100</f>
        <v>39.261904761904766</v>
      </c>
      <c r="I8" s="220">
        <f>G8/F8*100</f>
        <v>60.115564791017292</v>
      </c>
    </row>
    <row r="9" spans="1:10">
      <c r="A9" s="337"/>
      <c r="B9" s="338"/>
      <c r="C9" s="339" t="s">
        <v>30</v>
      </c>
      <c r="D9" s="340" t="s">
        <v>31</v>
      </c>
      <c r="E9" s="341">
        <v>7000</v>
      </c>
      <c r="F9" s="235">
        <v>2757.4</v>
      </c>
      <c r="G9" s="236">
        <v>2757</v>
      </c>
      <c r="H9" s="237">
        <f t="shared" ref="H9:H14" si="1">G9/E9*100</f>
        <v>39.385714285714286</v>
      </c>
      <c r="I9" s="238">
        <f t="shared" ref="I9:I14" si="2">G9/F9*100</f>
        <v>99.985493580909548</v>
      </c>
    </row>
    <row r="10" spans="1:10">
      <c r="A10" s="289"/>
      <c r="B10" s="291"/>
      <c r="C10" s="342" t="s">
        <v>23</v>
      </c>
      <c r="D10" s="340" t="s">
        <v>32</v>
      </c>
      <c r="E10" s="341">
        <v>200</v>
      </c>
      <c r="F10" s="235">
        <v>179.4</v>
      </c>
      <c r="G10" s="236">
        <f>9+63</f>
        <v>72</v>
      </c>
      <c r="H10" s="237">
        <f t="shared" ref="H10:H12" si="3">G10/E10*100</f>
        <v>36</v>
      </c>
      <c r="I10" s="238">
        <f t="shared" ref="I10:I13" si="4">G10/F10*100</f>
        <v>40.133779264214049</v>
      </c>
    </row>
    <row r="11" spans="1:10" ht="15" customHeight="1">
      <c r="A11" s="337"/>
      <c r="B11" s="291"/>
      <c r="C11" s="339" t="s">
        <v>280</v>
      </c>
      <c r="D11" s="343" t="s">
        <v>32</v>
      </c>
      <c r="E11" s="344">
        <v>1000</v>
      </c>
      <c r="F11" s="235">
        <f>2317.2+11.5</f>
        <v>2328.6999999999998</v>
      </c>
      <c r="G11" s="236">
        <f>347+11</f>
        <v>358</v>
      </c>
      <c r="H11" s="237">
        <f t="shared" si="3"/>
        <v>35.799999999999997</v>
      </c>
      <c r="I11" s="238">
        <f t="shared" si="4"/>
        <v>15.373384291664879</v>
      </c>
    </row>
    <row r="12" spans="1:10" ht="15" customHeight="1">
      <c r="A12" s="337"/>
      <c r="B12" s="345"/>
      <c r="C12" s="317" t="s">
        <v>297</v>
      </c>
      <c r="D12" s="343" t="s">
        <v>32</v>
      </c>
      <c r="E12" s="346">
        <v>200</v>
      </c>
      <c r="F12" s="235">
        <v>200</v>
      </c>
      <c r="G12" s="236">
        <v>91</v>
      </c>
      <c r="H12" s="237">
        <f t="shared" si="3"/>
        <v>45.5</v>
      </c>
      <c r="I12" s="238">
        <f t="shared" si="4"/>
        <v>45.5</v>
      </c>
    </row>
    <row r="13" spans="1:10" ht="15" customHeight="1" thickBot="1">
      <c r="A13" s="337"/>
      <c r="B13" s="345"/>
      <c r="C13" s="317" t="s">
        <v>442</v>
      </c>
      <c r="D13" s="343" t="s">
        <v>32</v>
      </c>
      <c r="E13" s="346">
        <v>0</v>
      </c>
      <c r="F13" s="235">
        <v>20.6</v>
      </c>
      <c r="G13" s="236">
        <v>20</v>
      </c>
      <c r="H13" s="917" t="s">
        <v>557</v>
      </c>
      <c r="I13" s="238">
        <f t="shared" si="4"/>
        <v>97.087378640776691</v>
      </c>
    </row>
    <row r="14" spans="1:10" ht="16.5" customHeight="1" thickBot="1">
      <c r="A14" s="957" t="s">
        <v>16</v>
      </c>
      <c r="B14" s="955"/>
      <c r="C14" s="956"/>
      <c r="D14" s="347"/>
      <c r="E14" s="302">
        <f>E8</f>
        <v>8400</v>
      </c>
      <c r="F14" s="303">
        <f>F8</f>
        <v>5486.1</v>
      </c>
      <c r="G14" s="302">
        <f t="shared" ref="G14" si="5">G8</f>
        <v>3298</v>
      </c>
      <c r="H14" s="348">
        <f t="shared" si="1"/>
        <v>39.261904761904766</v>
      </c>
      <c r="I14" s="349">
        <f t="shared" si="2"/>
        <v>60.115564791017292</v>
      </c>
    </row>
    <row r="15" spans="1:10" ht="15" customHeight="1">
      <c r="A15" s="50"/>
      <c r="B15" s="38"/>
      <c r="C15" s="38"/>
      <c r="D15" s="39"/>
      <c r="E15" s="40"/>
      <c r="F15" s="40"/>
      <c r="G15" s="41"/>
      <c r="H15" s="42"/>
      <c r="I15" s="51"/>
    </row>
    <row r="16" spans="1:10" ht="15" customHeight="1" thickBot="1">
      <c r="A16" s="43"/>
      <c r="B16" s="44"/>
      <c r="C16" s="44"/>
      <c r="D16" s="45"/>
      <c r="E16" s="46"/>
      <c r="F16" s="46"/>
      <c r="G16" s="47"/>
      <c r="H16" s="48"/>
      <c r="I16" s="49"/>
    </row>
    <row r="17" spans="1:9">
      <c r="A17" s="140" t="s">
        <v>1</v>
      </c>
      <c r="B17" s="64" t="s">
        <v>2</v>
      </c>
      <c r="C17" s="141" t="s">
        <v>3</v>
      </c>
      <c r="D17" s="64"/>
      <c r="E17" s="64" t="s">
        <v>4</v>
      </c>
      <c r="F17" s="64" t="s">
        <v>320</v>
      </c>
      <c r="G17" s="141" t="s">
        <v>314</v>
      </c>
      <c r="H17" s="64" t="s">
        <v>316</v>
      </c>
      <c r="I17" s="164" t="s">
        <v>316</v>
      </c>
    </row>
    <row r="18" spans="1:9">
      <c r="A18" s="143" t="s">
        <v>5</v>
      </c>
      <c r="B18" s="71" t="s">
        <v>6</v>
      </c>
      <c r="C18" s="144" t="s">
        <v>7</v>
      </c>
      <c r="D18" s="145" t="s">
        <v>8</v>
      </c>
      <c r="E18" s="71" t="s">
        <v>319</v>
      </c>
      <c r="F18" s="71" t="s">
        <v>321</v>
      </c>
      <c r="G18" s="144" t="s">
        <v>315</v>
      </c>
      <c r="H18" s="71" t="s">
        <v>317</v>
      </c>
      <c r="I18" s="139" t="s">
        <v>318</v>
      </c>
    </row>
    <row r="19" spans="1:9" ht="15.75" thickBot="1">
      <c r="A19" s="146" t="s">
        <v>9</v>
      </c>
      <c r="B19" s="78" t="s">
        <v>10</v>
      </c>
      <c r="C19" s="147"/>
      <c r="D19" s="148"/>
      <c r="E19" s="71" t="s">
        <v>291</v>
      </c>
      <c r="F19" s="71" t="str">
        <f>Kap.01!F14</f>
        <v>k 31.12.2019</v>
      </c>
      <c r="G19" s="114">
        <f>Kap.01!G14</f>
        <v>43830</v>
      </c>
      <c r="H19" s="166" t="s">
        <v>236</v>
      </c>
      <c r="I19" s="139" t="s">
        <v>236</v>
      </c>
    </row>
    <row r="20" spans="1:9" ht="15.75">
      <c r="A20" s="192" t="s">
        <v>334</v>
      </c>
      <c r="B20" s="193"/>
      <c r="C20" s="194"/>
      <c r="D20" s="195"/>
      <c r="E20" s="196"/>
      <c r="F20" s="119"/>
      <c r="G20" s="169"/>
      <c r="H20" s="121"/>
      <c r="I20" s="122"/>
    </row>
    <row r="21" spans="1:9">
      <c r="A21" s="713" t="s">
        <v>361</v>
      </c>
      <c r="B21" s="714" t="s">
        <v>362</v>
      </c>
      <c r="C21" s="714"/>
      <c r="D21" s="714"/>
      <c r="E21" s="715">
        <f>SUM(E22)</f>
        <v>4270</v>
      </c>
      <c r="F21" s="716">
        <f t="shared" ref="F21:G21" si="6">SUM(F22)</f>
        <v>13770</v>
      </c>
      <c r="G21" s="715">
        <f t="shared" si="6"/>
        <v>13683</v>
      </c>
      <c r="H21" s="717">
        <f>G21/E21*100</f>
        <v>320.44496487119437</v>
      </c>
      <c r="I21" s="718">
        <f>G21/F21*100</f>
        <v>99.368191721132888</v>
      </c>
    </row>
    <row r="22" spans="1:9">
      <c r="A22" s="719"/>
      <c r="B22" s="720"/>
      <c r="C22" s="721" t="s">
        <v>363</v>
      </c>
      <c r="D22" s="722" t="s">
        <v>32</v>
      </c>
      <c r="E22" s="723">
        <v>4270</v>
      </c>
      <c r="F22" s="724">
        <v>13770</v>
      </c>
      <c r="G22" s="725">
        <v>13683</v>
      </c>
      <c r="H22" s="726">
        <f>G22/E22*100</f>
        <v>320.44496487119437</v>
      </c>
      <c r="I22" s="727">
        <f>G22/F22*100</f>
        <v>99.368191721132888</v>
      </c>
    </row>
    <row r="23" spans="1:9">
      <c r="A23" s="713" t="s">
        <v>28</v>
      </c>
      <c r="B23" s="714" t="s">
        <v>29</v>
      </c>
      <c r="C23" s="714"/>
      <c r="D23" s="714"/>
      <c r="E23" s="715">
        <f>SUM(E24:E28)</f>
        <v>8783</v>
      </c>
      <c r="F23" s="716">
        <f t="shared" ref="F23:G23" si="7">SUM(F24:F28)</f>
        <v>8783</v>
      </c>
      <c r="G23" s="715">
        <f t="shared" si="7"/>
        <v>655</v>
      </c>
      <c r="H23" s="717">
        <f>G23/E23*100</f>
        <v>7.4575885232836159</v>
      </c>
      <c r="I23" s="718">
        <f>G23/F23*100</f>
        <v>7.4575885232836159</v>
      </c>
    </row>
    <row r="24" spans="1:9" s="52" customFormat="1">
      <c r="A24" s="728"/>
      <c r="B24" s="729"/>
      <c r="C24" s="397" t="s">
        <v>364</v>
      </c>
      <c r="D24" s="731" t="s">
        <v>32</v>
      </c>
      <c r="E24" s="732">
        <v>850</v>
      </c>
      <c r="F24" s="733">
        <v>850</v>
      </c>
      <c r="G24" s="725">
        <v>155</v>
      </c>
      <c r="H24" s="734">
        <f t="shared" ref="H24:H29" si="8">G24/E24*100</f>
        <v>18.235294117647058</v>
      </c>
      <c r="I24" s="735">
        <f t="shared" ref="I24:I29" si="9">G24/F24*100</f>
        <v>18.235294117647058</v>
      </c>
    </row>
    <row r="25" spans="1:9" s="52" customFormat="1">
      <c r="A25" s="728"/>
      <c r="B25" s="729"/>
      <c r="C25" s="730" t="s">
        <v>365</v>
      </c>
      <c r="D25" s="731" t="s">
        <v>32</v>
      </c>
      <c r="E25" s="732">
        <v>100</v>
      </c>
      <c r="F25" s="733">
        <v>100</v>
      </c>
      <c r="G25" s="725">
        <v>0</v>
      </c>
      <c r="H25" s="734">
        <f t="shared" si="8"/>
        <v>0</v>
      </c>
      <c r="I25" s="735">
        <f t="shared" si="9"/>
        <v>0</v>
      </c>
    </row>
    <row r="26" spans="1:9" s="52" customFormat="1" ht="26.25">
      <c r="A26" s="736"/>
      <c r="B26" s="737"/>
      <c r="C26" s="730" t="s">
        <v>366</v>
      </c>
      <c r="D26" s="731" t="s">
        <v>32</v>
      </c>
      <c r="E26" s="732">
        <v>730</v>
      </c>
      <c r="F26" s="733">
        <v>730</v>
      </c>
      <c r="G26" s="725">
        <v>370</v>
      </c>
      <c r="H26" s="734">
        <f t="shared" si="8"/>
        <v>50.684931506849317</v>
      </c>
      <c r="I26" s="735">
        <f t="shared" si="9"/>
        <v>50.684931506849317</v>
      </c>
    </row>
    <row r="27" spans="1:9" s="52" customFormat="1" ht="26.25">
      <c r="A27" s="736"/>
      <c r="B27" s="737"/>
      <c r="C27" s="730" t="s">
        <v>367</v>
      </c>
      <c r="D27" s="731" t="s">
        <v>32</v>
      </c>
      <c r="E27" s="732">
        <v>1200</v>
      </c>
      <c r="F27" s="733">
        <v>1200</v>
      </c>
      <c r="G27" s="725">
        <v>130</v>
      </c>
      <c r="H27" s="734">
        <f t="shared" si="8"/>
        <v>10.833333333333334</v>
      </c>
      <c r="I27" s="735">
        <f t="shared" si="9"/>
        <v>10.833333333333334</v>
      </c>
    </row>
    <row r="28" spans="1:9" s="52" customFormat="1" ht="27" thickBot="1">
      <c r="A28" s="736"/>
      <c r="B28" s="737"/>
      <c r="C28" s="730" t="s">
        <v>368</v>
      </c>
      <c r="D28" s="731" t="s">
        <v>32</v>
      </c>
      <c r="E28" s="732">
        <v>5903</v>
      </c>
      <c r="F28" s="733">
        <v>5903</v>
      </c>
      <c r="G28" s="725">
        <v>0</v>
      </c>
      <c r="H28" s="734">
        <f t="shared" si="8"/>
        <v>0</v>
      </c>
      <c r="I28" s="735">
        <f t="shared" si="9"/>
        <v>0</v>
      </c>
    </row>
    <row r="29" spans="1:9" ht="16.5" thickBot="1">
      <c r="A29" s="957" t="s">
        <v>411</v>
      </c>
      <c r="B29" s="955"/>
      <c r="C29" s="956"/>
      <c r="D29" s="347"/>
      <c r="E29" s="302">
        <f>E21+E23</f>
        <v>13053</v>
      </c>
      <c r="F29" s="303">
        <f t="shared" ref="F29:G29" si="10">F21+F23</f>
        <v>22553</v>
      </c>
      <c r="G29" s="302">
        <f t="shared" si="10"/>
        <v>14338</v>
      </c>
      <c r="H29" s="348">
        <f t="shared" si="8"/>
        <v>109.8444801961235</v>
      </c>
      <c r="I29" s="349">
        <f t="shared" si="9"/>
        <v>63.574690728506191</v>
      </c>
    </row>
    <row r="30" spans="1:9" ht="15.75" thickBot="1">
      <c r="A30" s="17"/>
      <c r="B30" s="17"/>
      <c r="C30" s="17"/>
      <c r="D30" s="17"/>
      <c r="E30" s="17"/>
      <c r="F30" s="54"/>
      <c r="G30" s="17"/>
      <c r="H30" s="17"/>
      <c r="I30" s="17"/>
    </row>
    <row r="31" spans="1:9" ht="16.5" thickBot="1">
      <c r="A31" s="957" t="s">
        <v>420</v>
      </c>
      <c r="B31" s="955"/>
      <c r="C31" s="956"/>
      <c r="D31" s="347"/>
      <c r="E31" s="302">
        <f>E14+E29</f>
        <v>21453</v>
      </c>
      <c r="F31" s="303">
        <f t="shared" ref="F31:G31" si="11">F14+F29</f>
        <v>28039.1</v>
      </c>
      <c r="G31" s="302">
        <f t="shared" si="11"/>
        <v>17636</v>
      </c>
      <c r="H31" s="348">
        <f t="shared" ref="H31" si="12">G31/E31*100</f>
        <v>82.207616650351937</v>
      </c>
      <c r="I31" s="349">
        <f t="shared" ref="I31" si="13">G31/F31*100</f>
        <v>62.897881886365823</v>
      </c>
    </row>
    <row r="32" spans="1:9">
      <c r="A32" s="17"/>
      <c r="B32" s="17"/>
      <c r="C32" s="17"/>
      <c r="D32" s="17"/>
      <c r="E32" s="17"/>
      <c r="F32" s="54"/>
      <c r="G32" s="17"/>
      <c r="H32" s="17"/>
      <c r="I32" s="17"/>
    </row>
  </sheetData>
  <mergeCells count="3">
    <mergeCell ref="A14:C14"/>
    <mergeCell ref="A29:C29"/>
    <mergeCell ref="A31:C31"/>
  </mergeCells>
  <printOptions horizontalCentered="1"/>
  <pageMargins left="0.82677165354330717" right="0" top="0.11811023622047245" bottom="0" header="0" footer="0"/>
  <pageSetup paperSize="9" scale="7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L283"/>
  <sheetViews>
    <sheetView topLeftCell="A206" zoomScale="115" zoomScaleNormal="115" workbookViewId="0">
      <selection activeCell="H225" sqref="H225"/>
    </sheetView>
  </sheetViews>
  <sheetFormatPr defaultRowHeight="15"/>
  <cols>
    <col min="1" max="1" width="11.28515625" style="17" customWidth="1"/>
    <col min="2" max="2" width="14" style="17" customWidth="1"/>
    <col min="3" max="3" width="52.28515625" style="17" customWidth="1"/>
    <col min="4" max="4" width="37.7109375" style="17" customWidth="1"/>
    <col min="5" max="5" width="16.42578125" style="17" customWidth="1"/>
    <col min="6" max="6" width="16.42578125" style="54" customWidth="1"/>
    <col min="7" max="7" width="16.42578125" style="55" customWidth="1"/>
    <col min="8" max="8" width="11.5703125" style="56" customWidth="1"/>
    <col min="9" max="9" width="10.7109375" style="56" customWidth="1"/>
    <col min="10" max="10" width="9.140625" style="17"/>
    <col min="11" max="11" width="26.5703125" style="17" customWidth="1"/>
    <col min="12" max="16384" width="9.140625" style="17"/>
  </cols>
  <sheetData>
    <row r="2" spans="1:11" ht="15.75">
      <c r="A2" s="103" t="s">
        <v>33</v>
      </c>
      <c r="B2" s="104"/>
      <c r="C2" s="104"/>
      <c r="D2" s="104"/>
    </row>
    <row r="3" spans="1:11" ht="16.5" thickBot="1">
      <c r="A3" s="105"/>
      <c r="B3" s="103"/>
      <c r="C3" s="105"/>
      <c r="D3" s="105"/>
      <c r="F3" s="106"/>
      <c r="I3" s="107" t="s">
        <v>519</v>
      </c>
    </row>
    <row r="4" spans="1:11">
      <c r="A4" s="60" t="s">
        <v>1</v>
      </c>
      <c r="B4" s="61" t="s">
        <v>2</v>
      </c>
      <c r="C4" s="62" t="s">
        <v>3</v>
      </c>
      <c r="D4" s="63"/>
      <c r="E4" s="64" t="s">
        <v>4</v>
      </c>
      <c r="F4" s="94" t="s">
        <v>320</v>
      </c>
      <c r="G4" s="108" t="s">
        <v>314</v>
      </c>
      <c r="H4" s="109" t="s">
        <v>316</v>
      </c>
      <c r="I4" s="110" t="s">
        <v>316</v>
      </c>
    </row>
    <row r="5" spans="1:11">
      <c r="A5" s="67" t="s">
        <v>5</v>
      </c>
      <c r="B5" s="68" t="s">
        <v>6</v>
      </c>
      <c r="C5" s="69" t="s">
        <v>7</v>
      </c>
      <c r="D5" s="70" t="s">
        <v>8</v>
      </c>
      <c r="E5" s="71" t="s">
        <v>319</v>
      </c>
      <c r="F5" s="99" t="s">
        <v>321</v>
      </c>
      <c r="G5" s="111" t="s">
        <v>315</v>
      </c>
      <c r="H5" s="112" t="s">
        <v>317</v>
      </c>
      <c r="I5" s="113" t="s">
        <v>318</v>
      </c>
    </row>
    <row r="6" spans="1:11" ht="15.75" thickBot="1">
      <c r="A6" s="74" t="s">
        <v>9</v>
      </c>
      <c r="B6" s="75" t="s">
        <v>10</v>
      </c>
      <c r="C6" s="76"/>
      <c r="D6" s="77"/>
      <c r="E6" s="71" t="s">
        <v>291</v>
      </c>
      <c r="F6" s="99" t="str">
        <f>Kap.01!F14</f>
        <v>k 31.12.2019</v>
      </c>
      <c r="G6" s="114">
        <f>Kap.01!G14</f>
        <v>43830</v>
      </c>
      <c r="H6" s="112" t="s">
        <v>236</v>
      </c>
      <c r="I6" s="113" t="s">
        <v>236</v>
      </c>
    </row>
    <row r="7" spans="1:11" ht="16.5" customHeight="1">
      <c r="A7" s="115" t="s">
        <v>11</v>
      </c>
      <c r="B7" s="116"/>
      <c r="C7" s="116"/>
      <c r="D7" s="117"/>
      <c r="E7" s="118"/>
      <c r="F7" s="119"/>
      <c r="G7" s="119"/>
      <c r="H7" s="121"/>
      <c r="I7" s="122"/>
    </row>
    <row r="8" spans="1:11" ht="14.1" customHeight="1">
      <c r="A8" s="282" t="s">
        <v>34</v>
      </c>
      <c r="B8" s="771" t="s">
        <v>35</v>
      </c>
      <c r="C8" s="668"/>
      <c r="D8" s="772"/>
      <c r="E8" s="312">
        <f>E9+E75+E145+E149+E152</f>
        <v>180728</v>
      </c>
      <c r="F8" s="313">
        <f>F9+F75+F145+F149+F152</f>
        <v>277531.29999999993</v>
      </c>
      <c r="G8" s="312">
        <f>G9+G75+G145+G149+G152</f>
        <v>274317</v>
      </c>
      <c r="H8" s="219">
        <f>G8/E8*100</f>
        <v>151.78444955955911</v>
      </c>
      <c r="I8" s="220">
        <f>G8/F8*100</f>
        <v>98.84182432756235</v>
      </c>
      <c r="J8" s="56"/>
    </row>
    <row r="9" spans="1:11" ht="14.1" customHeight="1">
      <c r="A9" s="337"/>
      <c r="B9" s="338"/>
      <c r="C9" s="773" t="s">
        <v>36</v>
      </c>
      <c r="D9" s="774"/>
      <c r="E9" s="335">
        <f>E10+E14+E17+E20+E23+E26+E29+E32+E35+E39+E42+E45+E48+E57+E60+E64+E67+E71</f>
        <v>31751</v>
      </c>
      <c r="F9" s="336">
        <f>F10+F14+F17+F20+F23+F26+F29+F32+F35+F39+F42+F45+F48+F57+F60+F64+F67+F71</f>
        <v>46616.4</v>
      </c>
      <c r="G9" s="335">
        <f>G10+G14+G17+G20+G23+G26+G29+G32+G35+G39+G42+G45+G48+G57+G60+G64+G67+G71</f>
        <v>46616</v>
      </c>
      <c r="H9" s="219">
        <f t="shared" ref="H9:H50" si="0">G9/E9*100</f>
        <v>146.81742307328904</v>
      </c>
      <c r="I9" s="220">
        <f t="shared" ref="I9:I50" si="1">G9/F9*100</f>
        <v>99.999141932881983</v>
      </c>
      <c r="K9" s="54"/>
    </row>
    <row r="10" spans="1:11" ht="14.1" customHeight="1">
      <c r="A10" s="289"/>
      <c r="B10" s="678" t="s">
        <v>37</v>
      </c>
      <c r="C10" s="775" t="s">
        <v>265</v>
      </c>
      <c r="D10" s="287" t="s">
        <v>38</v>
      </c>
      <c r="E10" s="752">
        <v>4415</v>
      </c>
      <c r="F10" s="776">
        <f>4465+898.2</f>
        <v>5363.2</v>
      </c>
      <c r="G10" s="236">
        <v>5363</v>
      </c>
      <c r="H10" s="237">
        <f t="shared" si="0"/>
        <v>121.47225368063421</v>
      </c>
      <c r="I10" s="238">
        <f t="shared" si="1"/>
        <v>99.996270883054891</v>
      </c>
    </row>
    <row r="11" spans="1:11" ht="14.1" customHeight="1">
      <c r="A11" s="289"/>
      <c r="B11" s="678"/>
      <c r="C11" s="777" t="s">
        <v>266</v>
      </c>
      <c r="D11" s="287"/>
      <c r="E11" s="341">
        <v>1494</v>
      </c>
      <c r="F11" s="555">
        <v>1494</v>
      </c>
      <c r="G11" s="341">
        <v>1494</v>
      </c>
      <c r="H11" s="237">
        <f t="shared" si="0"/>
        <v>100</v>
      </c>
      <c r="I11" s="238">
        <f t="shared" si="1"/>
        <v>100</v>
      </c>
    </row>
    <row r="12" spans="1:11" ht="14.1" customHeight="1">
      <c r="A12" s="289"/>
      <c r="B12" s="678"/>
      <c r="C12" s="777" t="s">
        <v>254</v>
      </c>
      <c r="D12" s="287"/>
      <c r="E12" s="341">
        <v>1800</v>
      </c>
      <c r="F12" s="555">
        <v>1800</v>
      </c>
      <c r="G12" s="341">
        <v>1800</v>
      </c>
      <c r="H12" s="237">
        <f t="shared" si="0"/>
        <v>100</v>
      </c>
      <c r="I12" s="238">
        <f t="shared" si="1"/>
        <v>100</v>
      </c>
    </row>
    <row r="13" spans="1:11" ht="14.1" customHeight="1">
      <c r="A13" s="289"/>
      <c r="B13" s="678"/>
      <c r="C13" s="777" t="s">
        <v>270</v>
      </c>
      <c r="D13" s="287"/>
      <c r="E13" s="341">
        <v>171</v>
      </c>
      <c r="F13" s="555">
        <v>171</v>
      </c>
      <c r="G13" s="341">
        <v>171</v>
      </c>
      <c r="H13" s="237">
        <f t="shared" si="0"/>
        <v>100</v>
      </c>
      <c r="I13" s="238">
        <f t="shared" si="1"/>
        <v>100</v>
      </c>
    </row>
    <row r="14" spans="1:11" ht="14.1" customHeight="1">
      <c r="A14" s="289"/>
      <c r="B14" s="678" t="s">
        <v>39</v>
      </c>
      <c r="C14" s="779" t="s">
        <v>40</v>
      </c>
      <c r="D14" s="287" t="s">
        <v>38</v>
      </c>
      <c r="E14" s="753">
        <v>1318</v>
      </c>
      <c r="F14" s="780">
        <f>1318+622.7+611.6</f>
        <v>2552.3000000000002</v>
      </c>
      <c r="G14" s="236">
        <v>2552</v>
      </c>
      <c r="H14" s="237">
        <f t="shared" si="0"/>
        <v>193.62670713201823</v>
      </c>
      <c r="I14" s="238">
        <f t="shared" si="1"/>
        <v>99.988245895858626</v>
      </c>
    </row>
    <row r="15" spans="1:11" ht="14.1" customHeight="1">
      <c r="A15" s="289"/>
      <c r="B15" s="678"/>
      <c r="C15" s="777" t="s">
        <v>266</v>
      </c>
      <c r="D15" s="287"/>
      <c r="E15" s="753">
        <v>708</v>
      </c>
      <c r="F15" s="780">
        <v>708</v>
      </c>
      <c r="G15" s="753">
        <v>708</v>
      </c>
      <c r="H15" s="237">
        <f t="shared" si="0"/>
        <v>100</v>
      </c>
      <c r="I15" s="238">
        <f t="shared" si="1"/>
        <v>100</v>
      </c>
    </row>
    <row r="16" spans="1:11" ht="14.1" customHeight="1">
      <c r="A16" s="289"/>
      <c r="B16" s="678"/>
      <c r="C16" s="777" t="s">
        <v>270</v>
      </c>
      <c r="D16" s="287"/>
      <c r="E16" s="753">
        <v>82</v>
      </c>
      <c r="F16" s="780">
        <v>82</v>
      </c>
      <c r="G16" s="753">
        <v>82</v>
      </c>
      <c r="H16" s="237">
        <f t="shared" si="0"/>
        <v>100</v>
      </c>
      <c r="I16" s="238">
        <f t="shared" si="1"/>
        <v>100</v>
      </c>
    </row>
    <row r="17" spans="1:9" ht="14.1" customHeight="1">
      <c r="A17" s="289"/>
      <c r="B17" s="678" t="s">
        <v>41</v>
      </c>
      <c r="C17" s="781" t="s">
        <v>42</v>
      </c>
      <c r="D17" s="287" t="s">
        <v>38</v>
      </c>
      <c r="E17" s="753">
        <v>1818</v>
      </c>
      <c r="F17" s="780">
        <f>1830+988.4</f>
        <v>2818.4</v>
      </c>
      <c r="G17" s="236">
        <v>2818</v>
      </c>
      <c r="H17" s="237">
        <f t="shared" si="0"/>
        <v>155.00550055005499</v>
      </c>
      <c r="I17" s="238">
        <f t="shared" si="1"/>
        <v>99.985807550383186</v>
      </c>
    </row>
    <row r="18" spans="1:9" ht="14.1" customHeight="1">
      <c r="A18" s="289"/>
      <c r="B18" s="678"/>
      <c r="C18" s="777" t="s">
        <v>266</v>
      </c>
      <c r="D18" s="287"/>
      <c r="E18" s="753">
        <v>865</v>
      </c>
      <c r="F18" s="780">
        <v>865</v>
      </c>
      <c r="G18" s="753">
        <v>865</v>
      </c>
      <c r="H18" s="237">
        <f t="shared" si="0"/>
        <v>100</v>
      </c>
      <c r="I18" s="238">
        <f t="shared" si="1"/>
        <v>100</v>
      </c>
    </row>
    <row r="19" spans="1:9" ht="14.1" customHeight="1">
      <c r="A19" s="289"/>
      <c r="B19" s="678"/>
      <c r="C19" s="777" t="s">
        <v>270</v>
      </c>
      <c r="D19" s="287"/>
      <c r="E19" s="753">
        <v>109</v>
      </c>
      <c r="F19" s="780">
        <v>109</v>
      </c>
      <c r="G19" s="753">
        <v>109</v>
      </c>
      <c r="H19" s="237">
        <f t="shared" si="0"/>
        <v>100</v>
      </c>
      <c r="I19" s="238">
        <f t="shared" si="1"/>
        <v>100</v>
      </c>
    </row>
    <row r="20" spans="1:9" ht="14.1" customHeight="1">
      <c r="A20" s="289"/>
      <c r="B20" s="678" t="s">
        <v>43</v>
      </c>
      <c r="C20" s="779" t="s">
        <v>44</v>
      </c>
      <c r="D20" s="287" t="s">
        <v>38</v>
      </c>
      <c r="E20" s="753">
        <v>1492</v>
      </c>
      <c r="F20" s="780">
        <f>1522+453.9</f>
        <v>1975.9</v>
      </c>
      <c r="G20" s="236">
        <f>1976</f>
        <v>1976</v>
      </c>
      <c r="H20" s="237">
        <f t="shared" si="0"/>
        <v>132.43967828418229</v>
      </c>
      <c r="I20" s="238">
        <f t="shared" si="1"/>
        <v>100.00506098486765</v>
      </c>
    </row>
    <row r="21" spans="1:9" ht="14.1" customHeight="1">
      <c r="A21" s="289"/>
      <c r="B21" s="678"/>
      <c r="C21" s="777" t="s">
        <v>266</v>
      </c>
      <c r="D21" s="287"/>
      <c r="E21" s="753">
        <v>875</v>
      </c>
      <c r="F21" s="780">
        <v>875</v>
      </c>
      <c r="G21" s="753">
        <v>875</v>
      </c>
      <c r="H21" s="237">
        <f t="shared" si="0"/>
        <v>100</v>
      </c>
      <c r="I21" s="238">
        <f t="shared" si="1"/>
        <v>100</v>
      </c>
    </row>
    <row r="22" spans="1:9" ht="14.1" customHeight="1">
      <c r="A22" s="289"/>
      <c r="B22" s="678"/>
      <c r="C22" s="777" t="s">
        <v>270</v>
      </c>
      <c r="D22" s="287"/>
      <c r="E22" s="753">
        <v>195</v>
      </c>
      <c r="F22" s="780">
        <v>195</v>
      </c>
      <c r="G22" s="753">
        <v>195</v>
      </c>
      <c r="H22" s="237">
        <f t="shared" si="0"/>
        <v>100</v>
      </c>
      <c r="I22" s="238">
        <f t="shared" si="1"/>
        <v>100</v>
      </c>
    </row>
    <row r="23" spans="1:9" ht="14.1" customHeight="1">
      <c r="A23" s="289"/>
      <c r="B23" s="678" t="s">
        <v>45</v>
      </c>
      <c r="C23" s="779" t="s">
        <v>46</v>
      </c>
      <c r="D23" s="287" t="s">
        <v>38</v>
      </c>
      <c r="E23" s="753">
        <v>1470</v>
      </c>
      <c r="F23" s="780">
        <f>1460+496+76.2+576.3+473</f>
        <v>3081.5</v>
      </c>
      <c r="G23" s="236">
        <v>3081</v>
      </c>
      <c r="H23" s="237">
        <f t="shared" si="0"/>
        <v>209.59183673469389</v>
      </c>
      <c r="I23" s="238">
        <f t="shared" si="1"/>
        <v>99.983774135972737</v>
      </c>
    </row>
    <row r="24" spans="1:9" ht="14.1" customHeight="1">
      <c r="A24" s="289"/>
      <c r="B24" s="678"/>
      <c r="C24" s="777" t="s">
        <v>266</v>
      </c>
      <c r="D24" s="287"/>
      <c r="E24" s="753">
        <v>1018</v>
      </c>
      <c r="F24" s="780">
        <v>1018</v>
      </c>
      <c r="G24" s="753">
        <v>1018</v>
      </c>
      <c r="H24" s="237">
        <f t="shared" si="0"/>
        <v>100</v>
      </c>
      <c r="I24" s="238">
        <f t="shared" si="1"/>
        <v>100</v>
      </c>
    </row>
    <row r="25" spans="1:9" ht="14.1" customHeight="1">
      <c r="A25" s="289"/>
      <c r="B25" s="678"/>
      <c r="C25" s="777" t="s">
        <v>270</v>
      </c>
      <c r="D25" s="287"/>
      <c r="E25" s="753">
        <v>29</v>
      </c>
      <c r="F25" s="780">
        <v>29</v>
      </c>
      <c r="G25" s="753">
        <v>29</v>
      </c>
      <c r="H25" s="237">
        <f t="shared" si="0"/>
        <v>100</v>
      </c>
      <c r="I25" s="238">
        <f t="shared" si="1"/>
        <v>100</v>
      </c>
    </row>
    <row r="26" spans="1:9" ht="14.1" customHeight="1">
      <c r="A26" s="289"/>
      <c r="B26" s="678" t="s">
        <v>47</v>
      </c>
      <c r="C26" s="779" t="s">
        <v>48</v>
      </c>
      <c r="D26" s="287" t="s">
        <v>38</v>
      </c>
      <c r="E26" s="753">
        <v>1099</v>
      </c>
      <c r="F26" s="780">
        <f>1099+524.9</f>
        <v>1623.9</v>
      </c>
      <c r="G26" s="236">
        <v>1624</v>
      </c>
      <c r="H26" s="237">
        <f t="shared" si="0"/>
        <v>147.77070063694268</v>
      </c>
      <c r="I26" s="238">
        <f t="shared" si="1"/>
        <v>100.00615801465607</v>
      </c>
    </row>
    <row r="27" spans="1:9" ht="14.1" customHeight="1">
      <c r="A27" s="289"/>
      <c r="B27" s="678"/>
      <c r="C27" s="777" t="s">
        <v>266</v>
      </c>
      <c r="D27" s="287"/>
      <c r="E27" s="753">
        <v>619</v>
      </c>
      <c r="F27" s="780">
        <v>619</v>
      </c>
      <c r="G27" s="753">
        <v>619</v>
      </c>
      <c r="H27" s="237">
        <f t="shared" si="0"/>
        <v>100</v>
      </c>
      <c r="I27" s="238">
        <f t="shared" si="1"/>
        <v>100</v>
      </c>
    </row>
    <row r="28" spans="1:9" ht="14.1" customHeight="1">
      <c r="A28" s="289"/>
      <c r="B28" s="678"/>
      <c r="C28" s="777" t="s">
        <v>270</v>
      </c>
      <c r="D28" s="287"/>
      <c r="E28" s="753">
        <v>58</v>
      </c>
      <c r="F28" s="780">
        <v>58</v>
      </c>
      <c r="G28" s="753">
        <v>58</v>
      </c>
      <c r="H28" s="237">
        <f t="shared" si="0"/>
        <v>100</v>
      </c>
      <c r="I28" s="238">
        <f t="shared" si="1"/>
        <v>100</v>
      </c>
    </row>
    <row r="29" spans="1:9" ht="14.1" customHeight="1">
      <c r="A29" s="289"/>
      <c r="B29" s="678" t="s">
        <v>49</v>
      </c>
      <c r="C29" s="779" t="s">
        <v>50</v>
      </c>
      <c r="D29" s="287" t="s">
        <v>38</v>
      </c>
      <c r="E29" s="753">
        <v>2129</v>
      </c>
      <c r="F29" s="780">
        <f>2034+922.2</f>
        <v>2956.2</v>
      </c>
      <c r="G29" s="236">
        <v>2956</v>
      </c>
      <c r="H29" s="237">
        <f t="shared" si="0"/>
        <v>138.84452794739315</v>
      </c>
      <c r="I29" s="238">
        <f t="shared" si="1"/>
        <v>99.993234557878367</v>
      </c>
    </row>
    <row r="30" spans="1:9" ht="14.1" customHeight="1">
      <c r="A30" s="289"/>
      <c r="B30" s="678"/>
      <c r="C30" s="777" t="s">
        <v>266</v>
      </c>
      <c r="D30" s="287"/>
      <c r="E30" s="753">
        <v>1137</v>
      </c>
      <c r="F30" s="780">
        <v>1137</v>
      </c>
      <c r="G30" s="753">
        <v>1137</v>
      </c>
      <c r="H30" s="237">
        <f t="shared" si="0"/>
        <v>100</v>
      </c>
      <c r="I30" s="238">
        <f t="shared" si="1"/>
        <v>100</v>
      </c>
    </row>
    <row r="31" spans="1:9" ht="14.1" customHeight="1">
      <c r="A31" s="289"/>
      <c r="B31" s="678"/>
      <c r="C31" s="777" t="s">
        <v>270</v>
      </c>
      <c r="D31" s="287"/>
      <c r="E31" s="753">
        <v>148</v>
      </c>
      <c r="F31" s="780">
        <v>148</v>
      </c>
      <c r="G31" s="753">
        <v>148</v>
      </c>
      <c r="H31" s="237">
        <f t="shared" si="0"/>
        <v>100</v>
      </c>
      <c r="I31" s="238">
        <f t="shared" si="1"/>
        <v>100</v>
      </c>
    </row>
    <row r="32" spans="1:9" ht="14.1" customHeight="1">
      <c r="A32" s="289"/>
      <c r="B32" s="678" t="s">
        <v>51</v>
      </c>
      <c r="C32" s="779" t="s">
        <v>52</v>
      </c>
      <c r="D32" s="287" t="s">
        <v>38</v>
      </c>
      <c r="E32" s="753">
        <v>1450</v>
      </c>
      <c r="F32" s="780">
        <f>1532+661.8</f>
        <v>2193.8000000000002</v>
      </c>
      <c r="G32" s="236">
        <f>2194</f>
        <v>2194</v>
      </c>
      <c r="H32" s="237">
        <f t="shared" si="0"/>
        <v>151.31034482758622</v>
      </c>
      <c r="I32" s="238">
        <f t="shared" si="1"/>
        <v>100.009116601331</v>
      </c>
    </row>
    <row r="33" spans="1:11" ht="14.1" customHeight="1">
      <c r="A33" s="289"/>
      <c r="B33" s="678"/>
      <c r="C33" s="777" t="s">
        <v>266</v>
      </c>
      <c r="D33" s="287"/>
      <c r="E33" s="753">
        <v>808</v>
      </c>
      <c r="F33" s="780">
        <v>808</v>
      </c>
      <c r="G33" s="753">
        <v>808</v>
      </c>
      <c r="H33" s="237">
        <f t="shared" si="0"/>
        <v>100</v>
      </c>
      <c r="I33" s="238">
        <f t="shared" si="1"/>
        <v>100</v>
      </c>
    </row>
    <row r="34" spans="1:11" ht="14.1" customHeight="1">
      <c r="A34" s="289"/>
      <c r="B34" s="678"/>
      <c r="C34" s="777" t="s">
        <v>270</v>
      </c>
      <c r="D34" s="287"/>
      <c r="E34" s="753">
        <v>114</v>
      </c>
      <c r="F34" s="780">
        <v>114</v>
      </c>
      <c r="G34" s="753">
        <v>114</v>
      </c>
      <c r="H34" s="237">
        <f t="shared" si="0"/>
        <v>100</v>
      </c>
      <c r="I34" s="238">
        <f t="shared" si="1"/>
        <v>100</v>
      </c>
    </row>
    <row r="35" spans="1:11" ht="14.1" customHeight="1">
      <c r="A35" s="289"/>
      <c r="B35" s="678" t="s">
        <v>53</v>
      </c>
      <c r="C35" s="779" t="s">
        <v>54</v>
      </c>
      <c r="D35" s="287" t="s">
        <v>38</v>
      </c>
      <c r="E35" s="753">
        <v>1952</v>
      </c>
      <c r="F35" s="780">
        <f>1952+928.1+313</f>
        <v>3193.1</v>
      </c>
      <c r="G35" s="236">
        <f>3193</f>
        <v>3193</v>
      </c>
      <c r="H35" s="237">
        <f t="shared" si="0"/>
        <v>163.57581967213116</v>
      </c>
      <c r="I35" s="238">
        <f t="shared" si="1"/>
        <v>99.996868247157934</v>
      </c>
    </row>
    <row r="36" spans="1:11" ht="14.1" customHeight="1">
      <c r="A36" s="289"/>
      <c r="B36" s="678"/>
      <c r="C36" s="777" t="s">
        <v>266</v>
      </c>
      <c r="D36" s="287"/>
      <c r="E36" s="753">
        <v>1210</v>
      </c>
      <c r="F36" s="780">
        <v>1210</v>
      </c>
      <c r="G36" s="753">
        <v>1210</v>
      </c>
      <c r="H36" s="237">
        <f t="shared" si="0"/>
        <v>100</v>
      </c>
      <c r="I36" s="238">
        <f t="shared" si="1"/>
        <v>100</v>
      </c>
    </row>
    <row r="37" spans="1:11" ht="14.1" customHeight="1">
      <c r="A37" s="289"/>
      <c r="B37" s="678"/>
      <c r="C37" s="777" t="s">
        <v>270</v>
      </c>
      <c r="D37" s="287"/>
      <c r="E37" s="753">
        <v>109</v>
      </c>
      <c r="F37" s="780">
        <v>109</v>
      </c>
      <c r="G37" s="753">
        <v>109</v>
      </c>
      <c r="H37" s="237">
        <f t="shared" si="0"/>
        <v>100</v>
      </c>
      <c r="I37" s="238">
        <f t="shared" si="1"/>
        <v>100</v>
      </c>
    </row>
    <row r="38" spans="1:11" s="123" customFormat="1" ht="13.5" customHeight="1">
      <c r="A38" s="782"/>
      <c r="B38" s="783"/>
      <c r="C38" s="784" t="s">
        <v>433</v>
      </c>
      <c r="D38" s="784"/>
      <c r="E38" s="612">
        <v>0</v>
      </c>
      <c r="F38" s="892">
        <v>313</v>
      </c>
      <c r="G38" s="612">
        <v>313</v>
      </c>
      <c r="H38" s="893" t="s">
        <v>557</v>
      </c>
      <c r="I38" s="894">
        <f t="shared" si="1"/>
        <v>100</v>
      </c>
    </row>
    <row r="39" spans="1:11" ht="14.1" customHeight="1">
      <c r="A39" s="289"/>
      <c r="B39" s="678" t="s">
        <v>55</v>
      </c>
      <c r="C39" s="779" t="s">
        <v>56</v>
      </c>
      <c r="D39" s="287" t="s">
        <v>38</v>
      </c>
      <c r="E39" s="753">
        <v>1508</v>
      </c>
      <c r="F39" s="780">
        <f>1568+608.5</f>
        <v>2176.5</v>
      </c>
      <c r="G39" s="236">
        <v>2176</v>
      </c>
      <c r="H39" s="237">
        <f t="shared" si="0"/>
        <v>144.29708222811669</v>
      </c>
      <c r="I39" s="238">
        <f t="shared" si="1"/>
        <v>99.977027337468414</v>
      </c>
    </row>
    <row r="40" spans="1:11" ht="14.1" customHeight="1">
      <c r="A40" s="289"/>
      <c r="B40" s="678"/>
      <c r="C40" s="777" t="s">
        <v>266</v>
      </c>
      <c r="D40" s="287"/>
      <c r="E40" s="753">
        <v>625</v>
      </c>
      <c r="F40" s="780">
        <v>625</v>
      </c>
      <c r="G40" s="753">
        <v>625</v>
      </c>
      <c r="H40" s="237">
        <f t="shared" si="0"/>
        <v>100</v>
      </c>
      <c r="I40" s="238">
        <f t="shared" si="1"/>
        <v>100</v>
      </c>
    </row>
    <row r="41" spans="1:11" ht="14.1" customHeight="1">
      <c r="A41" s="289"/>
      <c r="B41" s="678"/>
      <c r="C41" s="777" t="s">
        <v>270</v>
      </c>
      <c r="D41" s="287"/>
      <c r="E41" s="753">
        <v>461</v>
      </c>
      <c r="F41" s="780">
        <v>461</v>
      </c>
      <c r="G41" s="753">
        <v>461</v>
      </c>
      <c r="H41" s="237">
        <f t="shared" si="0"/>
        <v>100</v>
      </c>
      <c r="I41" s="238">
        <f t="shared" si="1"/>
        <v>100</v>
      </c>
    </row>
    <row r="42" spans="1:11" ht="14.1" customHeight="1">
      <c r="A42" s="289"/>
      <c r="B42" s="678" t="s">
        <v>57</v>
      </c>
      <c r="C42" s="779" t="s">
        <v>58</v>
      </c>
      <c r="D42" s="287" t="s">
        <v>38</v>
      </c>
      <c r="E42" s="753">
        <v>1134</v>
      </c>
      <c r="F42" s="780">
        <f>1089+507.7</f>
        <v>1596.7</v>
      </c>
      <c r="G42" s="236">
        <v>1597</v>
      </c>
      <c r="H42" s="237">
        <f t="shared" si="0"/>
        <v>140.82892416225749</v>
      </c>
      <c r="I42" s="238">
        <f t="shared" si="1"/>
        <v>100.01878875180059</v>
      </c>
    </row>
    <row r="43" spans="1:11" ht="14.1" customHeight="1">
      <c r="A43" s="289"/>
      <c r="B43" s="678"/>
      <c r="C43" s="777" t="s">
        <v>266</v>
      </c>
      <c r="D43" s="287"/>
      <c r="E43" s="753">
        <v>582</v>
      </c>
      <c r="F43" s="780">
        <v>582</v>
      </c>
      <c r="G43" s="753">
        <v>582</v>
      </c>
      <c r="H43" s="237">
        <f t="shared" si="0"/>
        <v>100</v>
      </c>
      <c r="I43" s="238">
        <f t="shared" si="1"/>
        <v>100</v>
      </c>
    </row>
    <row r="44" spans="1:11" ht="14.1" customHeight="1">
      <c r="A44" s="289"/>
      <c r="B44" s="678"/>
      <c r="C44" s="777" t="s">
        <v>270</v>
      </c>
      <c r="D44" s="287"/>
      <c r="E44" s="753">
        <v>129</v>
      </c>
      <c r="F44" s="780">
        <v>129</v>
      </c>
      <c r="G44" s="753">
        <v>129</v>
      </c>
      <c r="H44" s="237">
        <f t="shared" si="0"/>
        <v>100</v>
      </c>
      <c r="I44" s="238">
        <f t="shared" si="1"/>
        <v>100</v>
      </c>
    </row>
    <row r="45" spans="1:11" ht="14.1" customHeight="1">
      <c r="A45" s="289"/>
      <c r="B45" s="678" t="s">
        <v>59</v>
      </c>
      <c r="C45" s="779" t="s">
        <v>60</v>
      </c>
      <c r="D45" s="287" t="s">
        <v>38</v>
      </c>
      <c r="E45" s="753">
        <v>1772</v>
      </c>
      <c r="F45" s="780">
        <f>1798.5+672</f>
        <v>2470.5</v>
      </c>
      <c r="G45" s="236">
        <v>2471</v>
      </c>
      <c r="H45" s="237">
        <f t="shared" si="0"/>
        <v>139.44695259593681</v>
      </c>
      <c r="I45" s="238">
        <f t="shared" si="1"/>
        <v>100.02023881805302</v>
      </c>
      <c r="K45" s="54"/>
    </row>
    <row r="46" spans="1:11" ht="14.1" customHeight="1">
      <c r="A46" s="289"/>
      <c r="B46" s="678"/>
      <c r="C46" s="777" t="s">
        <v>267</v>
      </c>
      <c r="D46" s="287"/>
      <c r="E46" s="753">
        <v>1064</v>
      </c>
      <c r="F46" s="780">
        <v>1064</v>
      </c>
      <c r="G46" s="753">
        <v>1064</v>
      </c>
      <c r="H46" s="237">
        <f t="shared" si="0"/>
        <v>100</v>
      </c>
      <c r="I46" s="238">
        <f t="shared" si="1"/>
        <v>100</v>
      </c>
    </row>
    <row r="47" spans="1:11" ht="14.1" customHeight="1">
      <c r="A47" s="289"/>
      <c r="B47" s="678"/>
      <c r="C47" s="777" t="s">
        <v>270</v>
      </c>
      <c r="D47" s="287"/>
      <c r="E47" s="753">
        <v>180</v>
      </c>
      <c r="F47" s="780">
        <v>180</v>
      </c>
      <c r="G47" s="753">
        <v>180</v>
      </c>
      <c r="H47" s="237">
        <f t="shared" si="0"/>
        <v>100</v>
      </c>
      <c r="I47" s="238">
        <f t="shared" si="1"/>
        <v>100</v>
      </c>
    </row>
    <row r="48" spans="1:11" ht="14.1" customHeight="1">
      <c r="A48" s="289"/>
      <c r="B48" s="678" t="s">
        <v>61</v>
      </c>
      <c r="C48" s="779" t="s">
        <v>62</v>
      </c>
      <c r="D48" s="287" t="s">
        <v>38</v>
      </c>
      <c r="E48" s="753">
        <v>1273</v>
      </c>
      <c r="F48" s="780">
        <f>1521+554.2</f>
        <v>2075.1999999999998</v>
      </c>
      <c r="G48" s="236">
        <v>2075</v>
      </c>
      <c r="H48" s="237">
        <f t="shared" si="0"/>
        <v>163.00078554595444</v>
      </c>
      <c r="I48" s="238">
        <f t="shared" si="1"/>
        <v>99.990362374710884</v>
      </c>
    </row>
    <row r="49" spans="1:9" ht="14.1" customHeight="1">
      <c r="A49" s="289"/>
      <c r="B49" s="678"/>
      <c r="C49" s="777" t="s">
        <v>266</v>
      </c>
      <c r="D49" s="287"/>
      <c r="E49" s="753">
        <v>771</v>
      </c>
      <c r="F49" s="780">
        <v>771</v>
      </c>
      <c r="G49" s="753">
        <v>771</v>
      </c>
      <c r="H49" s="237">
        <f t="shared" si="0"/>
        <v>100</v>
      </c>
      <c r="I49" s="238">
        <f t="shared" si="1"/>
        <v>100</v>
      </c>
    </row>
    <row r="50" spans="1:9" ht="14.1" customHeight="1" thickBot="1">
      <c r="A50" s="785"/>
      <c r="B50" s="786"/>
      <c r="C50" s="787" t="s">
        <v>270</v>
      </c>
      <c r="D50" s="300"/>
      <c r="E50" s="895">
        <v>80</v>
      </c>
      <c r="F50" s="896">
        <v>80</v>
      </c>
      <c r="G50" s="895">
        <v>80</v>
      </c>
      <c r="H50" s="405">
        <f t="shared" si="0"/>
        <v>100</v>
      </c>
      <c r="I50" s="406">
        <f t="shared" si="1"/>
        <v>100</v>
      </c>
    </row>
    <row r="51" spans="1:9" ht="14.1" customHeight="1">
      <c r="A51" s="124"/>
      <c r="B51" s="124"/>
      <c r="C51" s="125"/>
      <c r="D51" s="126"/>
      <c r="E51" s="127"/>
      <c r="F51" s="128"/>
    </row>
    <row r="52" spans="1:9">
      <c r="A52" s="124"/>
      <c r="B52" s="124"/>
      <c r="C52" s="125"/>
      <c r="D52" s="126"/>
      <c r="E52" s="127"/>
      <c r="F52" s="128"/>
    </row>
    <row r="53" spans="1:9" ht="15.75" thickBot="1">
      <c r="A53" s="124"/>
      <c r="B53" s="124"/>
      <c r="C53" s="125"/>
      <c r="D53" s="126"/>
      <c r="E53" s="127"/>
      <c r="F53" s="106"/>
      <c r="I53" s="107" t="s">
        <v>518</v>
      </c>
    </row>
    <row r="54" spans="1:9">
      <c r="A54" s="60" t="s">
        <v>1</v>
      </c>
      <c r="B54" s="61" t="s">
        <v>2</v>
      </c>
      <c r="C54" s="62" t="s">
        <v>3</v>
      </c>
      <c r="D54" s="63"/>
      <c r="E54" s="64" t="s">
        <v>4</v>
      </c>
      <c r="F54" s="94" t="s">
        <v>320</v>
      </c>
      <c r="G54" s="108" t="s">
        <v>314</v>
      </c>
      <c r="H54" s="109" t="s">
        <v>316</v>
      </c>
      <c r="I54" s="110" t="s">
        <v>316</v>
      </c>
    </row>
    <row r="55" spans="1:9" ht="14.25" customHeight="1">
      <c r="A55" s="67" t="s">
        <v>5</v>
      </c>
      <c r="B55" s="68" t="s">
        <v>6</v>
      </c>
      <c r="C55" s="69" t="s">
        <v>7</v>
      </c>
      <c r="D55" s="70" t="s">
        <v>8</v>
      </c>
      <c r="E55" s="71" t="s">
        <v>264</v>
      </c>
      <c r="F55" s="99" t="s">
        <v>321</v>
      </c>
      <c r="G55" s="111" t="s">
        <v>315</v>
      </c>
      <c r="H55" s="112" t="s">
        <v>317</v>
      </c>
      <c r="I55" s="113" t="s">
        <v>318</v>
      </c>
    </row>
    <row r="56" spans="1:9" ht="13.5" customHeight="1" thickBot="1">
      <c r="A56" s="74" t="s">
        <v>9</v>
      </c>
      <c r="B56" s="129" t="s">
        <v>10</v>
      </c>
      <c r="C56" s="76"/>
      <c r="D56" s="77"/>
      <c r="E56" s="71" t="s">
        <v>291</v>
      </c>
      <c r="F56" s="99" t="str">
        <f>Kap.01!F14</f>
        <v>k 31.12.2019</v>
      </c>
      <c r="G56" s="114">
        <f>Kap.01!G14</f>
        <v>43830</v>
      </c>
      <c r="H56" s="112" t="s">
        <v>236</v>
      </c>
      <c r="I56" s="113" t="s">
        <v>236</v>
      </c>
    </row>
    <row r="57" spans="1:9" ht="14.1" customHeight="1">
      <c r="A57" s="351"/>
      <c r="B57" s="788" t="s">
        <v>63</v>
      </c>
      <c r="C57" s="789" t="s">
        <v>64</v>
      </c>
      <c r="D57" s="547" t="s">
        <v>38</v>
      </c>
      <c r="E57" s="754">
        <v>1149</v>
      </c>
      <c r="F57" s="790">
        <f>1149+535.6</f>
        <v>1684.6</v>
      </c>
      <c r="G57" s="791">
        <v>1685</v>
      </c>
      <c r="H57" s="792">
        <f t="shared" ref="H57:H105" si="2">G57/E57*100</f>
        <v>146.64926022628373</v>
      </c>
      <c r="I57" s="793">
        <f t="shared" ref="I57:I105" si="3">G57/F57*100</f>
        <v>100.02374450908229</v>
      </c>
    </row>
    <row r="58" spans="1:9" ht="14.1" customHeight="1">
      <c r="A58" s="289"/>
      <c r="B58" s="678"/>
      <c r="C58" s="777" t="s">
        <v>266</v>
      </c>
      <c r="D58" s="287"/>
      <c r="E58" s="753">
        <v>645</v>
      </c>
      <c r="F58" s="780">
        <v>645</v>
      </c>
      <c r="G58" s="753">
        <v>645</v>
      </c>
      <c r="H58" s="296">
        <f t="shared" si="2"/>
        <v>100</v>
      </c>
      <c r="I58" s="297">
        <f t="shared" si="3"/>
        <v>100</v>
      </c>
    </row>
    <row r="59" spans="1:9" ht="14.1" customHeight="1">
      <c r="A59" s="289"/>
      <c r="B59" s="678"/>
      <c r="C59" s="777" t="s">
        <v>270</v>
      </c>
      <c r="D59" s="287"/>
      <c r="E59" s="753">
        <v>82</v>
      </c>
      <c r="F59" s="780">
        <v>82</v>
      </c>
      <c r="G59" s="753">
        <v>82</v>
      </c>
      <c r="H59" s="296">
        <f t="shared" si="2"/>
        <v>100</v>
      </c>
      <c r="I59" s="297">
        <f t="shared" si="3"/>
        <v>100</v>
      </c>
    </row>
    <row r="60" spans="1:9" ht="14.1" customHeight="1">
      <c r="A60" s="289"/>
      <c r="B60" s="678" t="s">
        <v>65</v>
      </c>
      <c r="C60" s="779" t="s">
        <v>66</v>
      </c>
      <c r="D60" s="287" t="s">
        <v>38</v>
      </c>
      <c r="E60" s="753">
        <v>1970</v>
      </c>
      <c r="F60" s="780">
        <f>2000+910.9</f>
        <v>2910.9</v>
      </c>
      <c r="G60" s="236">
        <v>2911</v>
      </c>
      <c r="H60" s="296">
        <f t="shared" si="2"/>
        <v>147.76649746192894</v>
      </c>
      <c r="I60" s="297">
        <f t="shared" si="3"/>
        <v>100.00343536363323</v>
      </c>
    </row>
    <row r="61" spans="1:9" ht="14.1" customHeight="1">
      <c r="A61" s="289"/>
      <c r="B61" s="678"/>
      <c r="C61" s="777" t="s">
        <v>266</v>
      </c>
      <c r="D61" s="287"/>
      <c r="E61" s="753">
        <v>942</v>
      </c>
      <c r="F61" s="780">
        <v>942</v>
      </c>
      <c r="G61" s="753">
        <v>942</v>
      </c>
      <c r="H61" s="296">
        <f t="shared" si="2"/>
        <v>100</v>
      </c>
      <c r="I61" s="297">
        <f t="shared" si="3"/>
        <v>100</v>
      </c>
    </row>
    <row r="62" spans="1:9" ht="14.1" customHeight="1">
      <c r="A62" s="289"/>
      <c r="B62" s="678"/>
      <c r="C62" s="777" t="s">
        <v>270</v>
      </c>
      <c r="D62" s="287"/>
      <c r="E62" s="753">
        <v>90</v>
      </c>
      <c r="F62" s="780">
        <v>90</v>
      </c>
      <c r="G62" s="753">
        <v>90</v>
      </c>
      <c r="H62" s="296">
        <f t="shared" si="2"/>
        <v>100</v>
      </c>
      <c r="I62" s="297">
        <f t="shared" si="3"/>
        <v>100</v>
      </c>
    </row>
    <row r="63" spans="1:9" ht="14.1" customHeight="1">
      <c r="A63" s="289"/>
      <c r="B63" s="678"/>
      <c r="C63" s="794" t="s">
        <v>256</v>
      </c>
      <c r="D63" s="287"/>
      <c r="E63" s="753">
        <v>200</v>
      </c>
      <c r="F63" s="780">
        <v>200</v>
      </c>
      <c r="G63" s="753">
        <v>200</v>
      </c>
      <c r="H63" s="296">
        <f t="shared" si="2"/>
        <v>100</v>
      </c>
      <c r="I63" s="297">
        <f t="shared" si="3"/>
        <v>100</v>
      </c>
    </row>
    <row r="64" spans="1:9" ht="14.1" customHeight="1">
      <c r="A64" s="289"/>
      <c r="B64" s="678" t="s">
        <v>67</v>
      </c>
      <c r="C64" s="779" t="s">
        <v>68</v>
      </c>
      <c r="D64" s="287" t="s">
        <v>38</v>
      </c>
      <c r="E64" s="753">
        <v>1561</v>
      </c>
      <c r="F64" s="780">
        <f>1581+612.8+42</f>
        <v>2235.8000000000002</v>
      </c>
      <c r="G64" s="236">
        <v>2236</v>
      </c>
      <c r="H64" s="296">
        <f t="shared" si="2"/>
        <v>143.24151185137731</v>
      </c>
      <c r="I64" s="297">
        <f t="shared" si="3"/>
        <v>100.00894534394847</v>
      </c>
    </row>
    <row r="65" spans="1:10" ht="14.1" customHeight="1">
      <c r="A65" s="289"/>
      <c r="B65" s="678"/>
      <c r="C65" s="777" t="s">
        <v>266</v>
      </c>
      <c r="D65" s="287"/>
      <c r="E65" s="753">
        <v>920</v>
      </c>
      <c r="F65" s="780">
        <v>920</v>
      </c>
      <c r="G65" s="753">
        <v>920</v>
      </c>
      <c r="H65" s="296">
        <f t="shared" si="2"/>
        <v>100</v>
      </c>
      <c r="I65" s="297">
        <f t="shared" si="3"/>
        <v>100</v>
      </c>
    </row>
    <row r="66" spans="1:10" ht="14.1" customHeight="1">
      <c r="A66" s="289"/>
      <c r="B66" s="678"/>
      <c r="C66" s="777" t="s">
        <v>270</v>
      </c>
      <c r="D66" s="287"/>
      <c r="E66" s="753">
        <v>113</v>
      </c>
      <c r="F66" s="780">
        <v>113</v>
      </c>
      <c r="G66" s="753">
        <v>113</v>
      </c>
      <c r="H66" s="296">
        <f t="shared" si="2"/>
        <v>100</v>
      </c>
      <c r="I66" s="297">
        <f t="shared" si="3"/>
        <v>100</v>
      </c>
    </row>
    <row r="67" spans="1:10" ht="14.1" customHeight="1">
      <c r="A67" s="289"/>
      <c r="B67" s="678" t="s">
        <v>69</v>
      </c>
      <c r="C67" s="779" t="s">
        <v>70</v>
      </c>
      <c r="D67" s="287" t="s">
        <v>38</v>
      </c>
      <c r="E67" s="753">
        <v>1450</v>
      </c>
      <c r="F67" s="780">
        <f>1405+595.9</f>
        <v>2000.9</v>
      </c>
      <c r="G67" s="236">
        <v>2001</v>
      </c>
      <c r="H67" s="296">
        <f t="shared" si="2"/>
        <v>138</v>
      </c>
      <c r="I67" s="297">
        <f t="shared" si="3"/>
        <v>100.00499775101204</v>
      </c>
    </row>
    <row r="68" spans="1:10" ht="14.1" customHeight="1">
      <c r="A68" s="289"/>
      <c r="B68" s="678"/>
      <c r="C68" s="777" t="s">
        <v>266</v>
      </c>
      <c r="D68" s="287"/>
      <c r="E68" s="753">
        <v>560</v>
      </c>
      <c r="F68" s="780">
        <v>560</v>
      </c>
      <c r="G68" s="753">
        <v>560</v>
      </c>
      <c r="H68" s="296">
        <f t="shared" si="2"/>
        <v>100</v>
      </c>
      <c r="I68" s="297">
        <f t="shared" si="3"/>
        <v>100</v>
      </c>
    </row>
    <row r="69" spans="1:10" ht="14.1" customHeight="1">
      <c r="A69" s="289"/>
      <c r="B69" s="678"/>
      <c r="C69" s="777" t="s">
        <v>256</v>
      </c>
      <c r="D69" s="287"/>
      <c r="E69" s="753">
        <v>250</v>
      </c>
      <c r="F69" s="780">
        <v>250</v>
      </c>
      <c r="G69" s="753">
        <v>250</v>
      </c>
      <c r="H69" s="296">
        <f t="shared" si="2"/>
        <v>100</v>
      </c>
      <c r="I69" s="297">
        <f t="shared" si="3"/>
        <v>100</v>
      </c>
    </row>
    <row r="70" spans="1:10" ht="14.1" customHeight="1">
      <c r="A70" s="289"/>
      <c r="B70" s="678"/>
      <c r="C70" s="777" t="s">
        <v>270</v>
      </c>
      <c r="D70" s="287"/>
      <c r="E70" s="341">
        <v>111</v>
      </c>
      <c r="F70" s="555">
        <v>111</v>
      </c>
      <c r="G70" s="341">
        <v>111</v>
      </c>
      <c r="H70" s="296">
        <f t="shared" si="2"/>
        <v>100</v>
      </c>
      <c r="I70" s="297">
        <f t="shared" si="3"/>
        <v>100</v>
      </c>
    </row>
    <row r="71" spans="1:10" ht="14.1" customHeight="1">
      <c r="A71" s="289"/>
      <c r="B71" s="678" t="s">
        <v>71</v>
      </c>
      <c r="C71" s="779" t="s">
        <v>72</v>
      </c>
      <c r="D71" s="287" t="s">
        <v>38</v>
      </c>
      <c r="E71" s="753">
        <v>2791</v>
      </c>
      <c r="F71" s="780">
        <f>2691+1016</f>
        <v>3707</v>
      </c>
      <c r="G71" s="236">
        <f>F71</f>
        <v>3707</v>
      </c>
      <c r="H71" s="296">
        <f t="shared" si="2"/>
        <v>132.81977785739878</v>
      </c>
      <c r="I71" s="297">
        <f t="shared" si="3"/>
        <v>100</v>
      </c>
    </row>
    <row r="72" spans="1:10" ht="14.1" customHeight="1">
      <c r="A72" s="289"/>
      <c r="B72" s="678"/>
      <c r="C72" s="777" t="s">
        <v>266</v>
      </c>
      <c r="D72" s="287"/>
      <c r="E72" s="753">
        <v>1172</v>
      </c>
      <c r="F72" s="780">
        <v>1172</v>
      </c>
      <c r="G72" s="753">
        <v>1172</v>
      </c>
      <c r="H72" s="296">
        <f t="shared" si="2"/>
        <v>100</v>
      </c>
      <c r="I72" s="297">
        <f t="shared" si="3"/>
        <v>100</v>
      </c>
    </row>
    <row r="73" spans="1:10" ht="14.1" customHeight="1">
      <c r="A73" s="289"/>
      <c r="B73" s="678"/>
      <c r="C73" s="777" t="s">
        <v>271</v>
      </c>
      <c r="D73" s="287"/>
      <c r="E73" s="753">
        <v>774</v>
      </c>
      <c r="F73" s="780">
        <v>774</v>
      </c>
      <c r="G73" s="753">
        <v>774</v>
      </c>
      <c r="H73" s="296">
        <f t="shared" si="2"/>
        <v>100</v>
      </c>
      <c r="I73" s="297">
        <f t="shared" si="3"/>
        <v>100</v>
      </c>
    </row>
    <row r="74" spans="1:10" ht="14.1" customHeight="1">
      <c r="A74" s="351"/>
      <c r="B74" s="970"/>
      <c r="C74" s="971"/>
      <c r="D74" s="972"/>
      <c r="E74" s="353"/>
      <c r="F74" s="354"/>
      <c r="G74" s="353"/>
      <c r="H74" s="355"/>
      <c r="I74" s="356"/>
      <c r="J74" s="55"/>
    </row>
    <row r="75" spans="1:10" ht="14.1" customHeight="1">
      <c r="A75" s="228" t="s">
        <v>34</v>
      </c>
      <c r="B75" s="795"/>
      <c r="C75" s="796" t="s">
        <v>73</v>
      </c>
      <c r="D75" s="797"/>
      <c r="E75" s="755">
        <f>E76+E80+E84+E88+E92+E98+E102+E112+E116+E120+E124+E129+E133+E137+E141</f>
        <v>99077</v>
      </c>
      <c r="F75" s="798">
        <f>F76+F80+F84+F88+F92+F98+F102+F112+F116+F120+F124+F129+F133+F137+F141</f>
        <v>173108.69999999998</v>
      </c>
      <c r="G75" s="755">
        <f>G76+G80+G84+G88+G92+G98+G102+G112+G116+G120+G124+G129+G133+G137+G141</f>
        <v>170117</v>
      </c>
      <c r="H75" s="314">
        <f t="shared" si="2"/>
        <v>171.70180768493194</v>
      </c>
      <c r="I75" s="799">
        <f t="shared" si="3"/>
        <v>98.271779523501706</v>
      </c>
    </row>
    <row r="76" spans="1:10" ht="14.1" customHeight="1">
      <c r="A76" s="800"/>
      <c r="B76" s="801" t="s">
        <v>74</v>
      </c>
      <c r="C76" s="802" t="s">
        <v>75</v>
      </c>
      <c r="D76" s="803" t="s">
        <v>76</v>
      </c>
      <c r="E76" s="689">
        <v>7150</v>
      </c>
      <c r="F76" s="739">
        <f>6675.5+1736.9+1256.2</f>
        <v>9668.6</v>
      </c>
      <c r="G76" s="236">
        <v>9669</v>
      </c>
      <c r="H76" s="296">
        <f t="shared" si="2"/>
        <v>135.23076923076923</v>
      </c>
      <c r="I76" s="297">
        <f t="shared" si="3"/>
        <v>100.00413710361376</v>
      </c>
    </row>
    <row r="77" spans="1:10" ht="14.1" customHeight="1">
      <c r="A77" s="800"/>
      <c r="B77" s="801"/>
      <c r="C77" s="804" t="s">
        <v>267</v>
      </c>
      <c r="D77" s="805"/>
      <c r="E77" s="689">
        <v>2926</v>
      </c>
      <c r="F77" s="739">
        <v>2926</v>
      </c>
      <c r="G77" s="689">
        <v>2926</v>
      </c>
      <c r="H77" s="296">
        <f t="shared" si="2"/>
        <v>100</v>
      </c>
      <c r="I77" s="297">
        <f t="shared" si="3"/>
        <v>100</v>
      </c>
    </row>
    <row r="78" spans="1:10" ht="14.1" customHeight="1">
      <c r="A78" s="800"/>
      <c r="B78" s="801"/>
      <c r="C78" s="777" t="s">
        <v>272</v>
      </c>
      <c r="D78" s="805"/>
      <c r="E78" s="689">
        <v>66</v>
      </c>
      <c r="F78" s="739">
        <v>66</v>
      </c>
      <c r="G78" s="689">
        <v>66</v>
      </c>
      <c r="H78" s="296">
        <f t="shared" si="2"/>
        <v>100</v>
      </c>
      <c r="I78" s="297">
        <f t="shared" si="3"/>
        <v>100</v>
      </c>
    </row>
    <row r="79" spans="1:10" ht="14.1" customHeight="1">
      <c r="A79" s="800"/>
      <c r="B79" s="801"/>
      <c r="C79" s="777" t="s">
        <v>270</v>
      </c>
      <c r="D79" s="805"/>
      <c r="E79" s="689">
        <v>2589</v>
      </c>
      <c r="F79" s="739">
        <v>2589</v>
      </c>
      <c r="G79" s="689">
        <v>2589</v>
      </c>
      <c r="H79" s="296">
        <f t="shared" si="2"/>
        <v>100</v>
      </c>
      <c r="I79" s="297">
        <f t="shared" si="3"/>
        <v>100</v>
      </c>
    </row>
    <row r="80" spans="1:10" ht="14.1" customHeight="1">
      <c r="A80" s="800"/>
      <c r="B80" s="801" t="s">
        <v>77</v>
      </c>
      <c r="C80" s="802" t="s">
        <v>78</v>
      </c>
      <c r="D80" s="803" t="s">
        <v>76</v>
      </c>
      <c r="E80" s="689">
        <v>3956</v>
      </c>
      <c r="F80" s="739">
        <f>4373.5+2005.4+2116.7</f>
        <v>8495.5999999999985</v>
      </c>
      <c r="G80" s="236">
        <v>8496</v>
      </c>
      <c r="H80" s="296">
        <f t="shared" si="2"/>
        <v>214.76238624873611</v>
      </c>
      <c r="I80" s="297">
        <f t="shared" si="3"/>
        <v>100.00470831960075</v>
      </c>
    </row>
    <row r="81" spans="1:9" ht="14.1" customHeight="1">
      <c r="A81" s="800"/>
      <c r="B81" s="801"/>
      <c r="C81" s="804" t="s">
        <v>267</v>
      </c>
      <c r="D81" s="803"/>
      <c r="E81" s="689">
        <v>1913</v>
      </c>
      <c r="F81" s="739">
        <v>1913</v>
      </c>
      <c r="G81" s="689">
        <v>1913</v>
      </c>
      <c r="H81" s="296">
        <f t="shared" si="2"/>
        <v>100</v>
      </c>
      <c r="I81" s="297">
        <f t="shared" si="3"/>
        <v>100</v>
      </c>
    </row>
    <row r="82" spans="1:9" ht="14.1" customHeight="1">
      <c r="A82" s="800"/>
      <c r="B82" s="801"/>
      <c r="C82" s="777" t="s">
        <v>272</v>
      </c>
      <c r="D82" s="803"/>
      <c r="E82" s="689">
        <v>62</v>
      </c>
      <c r="F82" s="739">
        <v>62</v>
      </c>
      <c r="G82" s="689">
        <v>62</v>
      </c>
      <c r="H82" s="296">
        <f t="shared" si="2"/>
        <v>100</v>
      </c>
      <c r="I82" s="297">
        <f t="shared" si="3"/>
        <v>100</v>
      </c>
    </row>
    <row r="83" spans="1:9" ht="14.1" customHeight="1">
      <c r="A83" s="800"/>
      <c r="B83" s="801"/>
      <c r="C83" s="777" t="s">
        <v>270</v>
      </c>
      <c r="D83" s="803"/>
      <c r="E83" s="689">
        <v>202</v>
      </c>
      <c r="F83" s="739">
        <v>202</v>
      </c>
      <c r="G83" s="689">
        <v>202</v>
      </c>
      <c r="H83" s="296">
        <f t="shared" si="2"/>
        <v>100</v>
      </c>
      <c r="I83" s="297">
        <f t="shared" si="3"/>
        <v>100</v>
      </c>
    </row>
    <row r="84" spans="1:9" ht="14.1" customHeight="1">
      <c r="A84" s="800"/>
      <c r="B84" s="801" t="s">
        <v>79</v>
      </c>
      <c r="C84" s="802" t="s">
        <v>80</v>
      </c>
      <c r="D84" s="803" t="s">
        <v>76</v>
      </c>
      <c r="E84" s="689">
        <v>4861</v>
      </c>
      <c r="F84" s="739">
        <f>5846.5+139.2+2107.5+283.7+709.9+2016.4</f>
        <v>11103.199999999999</v>
      </c>
      <c r="G84" s="689">
        <v>10425</v>
      </c>
      <c r="H84" s="296">
        <f t="shared" si="2"/>
        <v>214.46204484673936</v>
      </c>
      <c r="I84" s="297">
        <f t="shared" si="3"/>
        <v>93.891850997910524</v>
      </c>
    </row>
    <row r="85" spans="1:9" ht="14.1" customHeight="1">
      <c r="A85" s="800"/>
      <c r="B85" s="801"/>
      <c r="C85" s="804" t="s">
        <v>267</v>
      </c>
      <c r="D85" s="803"/>
      <c r="E85" s="689">
        <v>1856</v>
      </c>
      <c r="F85" s="739">
        <v>1856</v>
      </c>
      <c r="G85" s="689">
        <v>1856</v>
      </c>
      <c r="H85" s="296">
        <f t="shared" si="2"/>
        <v>100</v>
      </c>
      <c r="I85" s="297">
        <f t="shared" si="3"/>
        <v>100</v>
      </c>
    </row>
    <row r="86" spans="1:9" ht="14.1" customHeight="1">
      <c r="A86" s="800"/>
      <c r="B86" s="801"/>
      <c r="C86" s="777" t="s">
        <v>272</v>
      </c>
      <c r="D86" s="803"/>
      <c r="E86" s="689">
        <v>80</v>
      </c>
      <c r="F86" s="739">
        <v>80</v>
      </c>
      <c r="G86" s="689">
        <v>80</v>
      </c>
      <c r="H86" s="296">
        <f t="shared" si="2"/>
        <v>100</v>
      </c>
      <c r="I86" s="297">
        <f t="shared" si="3"/>
        <v>100</v>
      </c>
    </row>
    <row r="87" spans="1:9" ht="14.1" customHeight="1">
      <c r="A87" s="800"/>
      <c r="B87" s="801"/>
      <c r="C87" s="777" t="s">
        <v>270</v>
      </c>
      <c r="D87" s="803"/>
      <c r="E87" s="689">
        <v>877</v>
      </c>
      <c r="F87" s="739">
        <v>877</v>
      </c>
      <c r="G87" s="689">
        <v>877</v>
      </c>
      <c r="H87" s="296">
        <f t="shared" si="2"/>
        <v>100</v>
      </c>
      <c r="I87" s="297">
        <f t="shared" si="3"/>
        <v>100</v>
      </c>
    </row>
    <row r="88" spans="1:9" ht="14.1" customHeight="1">
      <c r="A88" s="800"/>
      <c r="B88" s="801" t="s">
        <v>81</v>
      </c>
      <c r="C88" s="802" t="s">
        <v>82</v>
      </c>
      <c r="D88" s="803" t="s">
        <v>76</v>
      </c>
      <c r="E88" s="689">
        <v>4214</v>
      </c>
      <c r="F88" s="739">
        <f>4675.5+139.2+1834.3+130.7</f>
        <v>6779.7</v>
      </c>
      <c r="G88" s="689">
        <v>6773</v>
      </c>
      <c r="H88" s="296">
        <f t="shared" si="2"/>
        <v>160.72615092548648</v>
      </c>
      <c r="I88" s="297">
        <f t="shared" si="3"/>
        <v>99.90117556824049</v>
      </c>
    </row>
    <row r="89" spans="1:9" ht="14.1" customHeight="1">
      <c r="A89" s="800"/>
      <c r="B89" s="801"/>
      <c r="C89" s="804" t="s">
        <v>267</v>
      </c>
      <c r="D89" s="803"/>
      <c r="E89" s="689">
        <v>1933</v>
      </c>
      <c r="F89" s="739">
        <v>1933</v>
      </c>
      <c r="G89" s="689">
        <v>1933</v>
      </c>
      <c r="H89" s="296">
        <f t="shared" si="2"/>
        <v>100</v>
      </c>
      <c r="I89" s="297">
        <f t="shared" si="3"/>
        <v>100</v>
      </c>
    </row>
    <row r="90" spans="1:9" ht="14.1" customHeight="1">
      <c r="A90" s="800"/>
      <c r="B90" s="801"/>
      <c r="C90" s="777" t="s">
        <v>272</v>
      </c>
      <c r="D90" s="803"/>
      <c r="E90" s="689">
        <v>59</v>
      </c>
      <c r="F90" s="739">
        <v>59</v>
      </c>
      <c r="G90" s="689">
        <v>59</v>
      </c>
      <c r="H90" s="296">
        <f t="shared" si="2"/>
        <v>100</v>
      </c>
      <c r="I90" s="297">
        <f t="shared" si="3"/>
        <v>100</v>
      </c>
    </row>
    <row r="91" spans="1:9" ht="14.1" customHeight="1">
      <c r="A91" s="800"/>
      <c r="B91" s="801"/>
      <c r="C91" s="777" t="s">
        <v>270</v>
      </c>
      <c r="D91" s="803"/>
      <c r="E91" s="689">
        <v>700</v>
      </c>
      <c r="F91" s="739">
        <v>700</v>
      </c>
      <c r="G91" s="689">
        <v>700</v>
      </c>
      <c r="H91" s="296">
        <f t="shared" si="2"/>
        <v>100</v>
      </c>
      <c r="I91" s="297">
        <f t="shared" si="3"/>
        <v>100</v>
      </c>
    </row>
    <row r="92" spans="1:9" ht="14.1" customHeight="1">
      <c r="A92" s="800"/>
      <c r="B92" s="801" t="s">
        <v>83</v>
      </c>
      <c r="C92" s="802" t="s">
        <v>84</v>
      </c>
      <c r="D92" s="803" t="s">
        <v>76</v>
      </c>
      <c r="E92" s="689">
        <v>14868</v>
      </c>
      <c r="F92" s="739">
        <f>14513+4654.7+139.9+1159.4+618.4+2008.8</f>
        <v>23094.200000000004</v>
      </c>
      <c r="G92" s="236">
        <f>12753+4655+112+1159+618+2009</f>
        <v>21306</v>
      </c>
      <c r="H92" s="296">
        <f t="shared" si="2"/>
        <v>143.30104923325263</v>
      </c>
      <c r="I92" s="297">
        <f t="shared" si="3"/>
        <v>92.256930311506764</v>
      </c>
    </row>
    <row r="93" spans="1:9" ht="14.1" customHeight="1">
      <c r="A93" s="800"/>
      <c r="B93" s="801"/>
      <c r="C93" s="804" t="s">
        <v>267</v>
      </c>
      <c r="D93" s="803"/>
      <c r="E93" s="689">
        <v>2553</v>
      </c>
      <c r="F93" s="739">
        <v>2553</v>
      </c>
      <c r="G93" s="689">
        <v>2553</v>
      </c>
      <c r="H93" s="296">
        <f t="shared" si="2"/>
        <v>100</v>
      </c>
      <c r="I93" s="297">
        <f t="shared" si="3"/>
        <v>100</v>
      </c>
    </row>
    <row r="94" spans="1:9" ht="14.1" customHeight="1">
      <c r="A94" s="800"/>
      <c r="B94" s="801"/>
      <c r="C94" s="777" t="s">
        <v>272</v>
      </c>
      <c r="D94" s="803"/>
      <c r="E94" s="689">
        <v>97</v>
      </c>
      <c r="F94" s="739">
        <v>97</v>
      </c>
      <c r="G94" s="689">
        <v>97</v>
      </c>
      <c r="H94" s="296">
        <f t="shared" si="2"/>
        <v>100</v>
      </c>
      <c r="I94" s="297">
        <f t="shared" si="3"/>
        <v>100</v>
      </c>
    </row>
    <row r="95" spans="1:9" ht="14.1" customHeight="1">
      <c r="A95" s="807"/>
      <c r="B95" s="808"/>
      <c r="C95" s="777" t="s">
        <v>270</v>
      </c>
      <c r="D95" s="809"/>
      <c r="E95" s="689">
        <v>553</v>
      </c>
      <c r="F95" s="739">
        <v>553</v>
      </c>
      <c r="G95" s="689">
        <v>553</v>
      </c>
      <c r="H95" s="296">
        <f t="shared" si="2"/>
        <v>100</v>
      </c>
      <c r="I95" s="297">
        <f t="shared" si="3"/>
        <v>100</v>
      </c>
    </row>
    <row r="96" spans="1:9" ht="14.1" customHeight="1">
      <c r="A96" s="807"/>
      <c r="B96" s="808"/>
      <c r="C96" s="777" t="s">
        <v>295</v>
      </c>
      <c r="D96" s="809"/>
      <c r="E96" s="689">
        <v>1000</v>
      </c>
      <c r="F96" s="739">
        <v>1000</v>
      </c>
      <c r="G96" s="689">
        <v>1000</v>
      </c>
      <c r="H96" s="296">
        <f t="shared" si="2"/>
        <v>100</v>
      </c>
      <c r="I96" s="297">
        <f t="shared" si="3"/>
        <v>100</v>
      </c>
    </row>
    <row r="97" spans="1:9" ht="14.1" customHeight="1">
      <c r="A97" s="807"/>
      <c r="B97" s="808"/>
      <c r="C97" s="777" t="s">
        <v>296</v>
      </c>
      <c r="D97" s="809"/>
      <c r="E97" s="689">
        <v>7260</v>
      </c>
      <c r="F97" s="739">
        <v>7260</v>
      </c>
      <c r="G97" s="689">
        <v>7260</v>
      </c>
      <c r="H97" s="296">
        <f t="shared" si="2"/>
        <v>100</v>
      </c>
      <c r="I97" s="297">
        <f t="shared" si="3"/>
        <v>100</v>
      </c>
    </row>
    <row r="98" spans="1:9" ht="14.1" customHeight="1">
      <c r="A98" s="800"/>
      <c r="B98" s="801" t="s">
        <v>85</v>
      </c>
      <c r="C98" s="802" t="s">
        <v>86</v>
      </c>
      <c r="D98" s="803" t="s">
        <v>76</v>
      </c>
      <c r="E98" s="679">
        <v>3359</v>
      </c>
      <c r="F98" s="680">
        <f>3658.1+139.2+1264.6+1193.2+890.8</f>
        <v>7145.9</v>
      </c>
      <c r="G98" s="679">
        <f>3658+139+1265+1193+508</f>
        <v>6763</v>
      </c>
      <c r="H98" s="296">
        <f t="shared" si="2"/>
        <v>201.33968442988984</v>
      </c>
      <c r="I98" s="297">
        <f t="shared" si="3"/>
        <v>94.641682643194002</v>
      </c>
    </row>
    <row r="99" spans="1:9" ht="14.1" customHeight="1">
      <c r="A99" s="800"/>
      <c r="B99" s="801"/>
      <c r="C99" s="804" t="s">
        <v>267</v>
      </c>
      <c r="D99" s="803"/>
      <c r="E99" s="689">
        <v>1553</v>
      </c>
      <c r="F99" s="739">
        <v>1553</v>
      </c>
      <c r="G99" s="689">
        <v>1553</v>
      </c>
      <c r="H99" s="296">
        <f t="shared" si="2"/>
        <v>100</v>
      </c>
      <c r="I99" s="297">
        <f t="shared" si="3"/>
        <v>100</v>
      </c>
    </row>
    <row r="100" spans="1:9" ht="14.1" customHeight="1">
      <c r="A100" s="800"/>
      <c r="B100" s="801"/>
      <c r="C100" s="777" t="s">
        <v>272</v>
      </c>
      <c r="D100" s="803"/>
      <c r="E100" s="689">
        <v>45</v>
      </c>
      <c r="F100" s="739">
        <v>45</v>
      </c>
      <c r="G100" s="689">
        <v>45</v>
      </c>
      <c r="H100" s="296">
        <f t="shared" si="2"/>
        <v>100</v>
      </c>
      <c r="I100" s="297">
        <f t="shared" si="3"/>
        <v>100</v>
      </c>
    </row>
    <row r="101" spans="1:9" ht="14.1" customHeight="1">
      <c r="A101" s="800"/>
      <c r="B101" s="801"/>
      <c r="C101" s="777" t="s">
        <v>270</v>
      </c>
      <c r="D101" s="803"/>
      <c r="E101" s="689">
        <v>789</v>
      </c>
      <c r="F101" s="739">
        <v>789</v>
      </c>
      <c r="G101" s="689">
        <v>789</v>
      </c>
      <c r="H101" s="296">
        <f t="shared" si="2"/>
        <v>100</v>
      </c>
      <c r="I101" s="297">
        <f t="shared" si="3"/>
        <v>100</v>
      </c>
    </row>
    <row r="102" spans="1:9" ht="14.1" customHeight="1">
      <c r="A102" s="800"/>
      <c r="B102" s="801" t="s">
        <v>87</v>
      </c>
      <c r="C102" s="802" t="s">
        <v>227</v>
      </c>
      <c r="D102" s="803" t="s">
        <v>76</v>
      </c>
      <c r="E102" s="689">
        <v>5408</v>
      </c>
      <c r="F102" s="739">
        <f>6611.1+2947.1</f>
        <v>9558.2000000000007</v>
      </c>
      <c r="G102" s="236">
        <v>9558</v>
      </c>
      <c r="H102" s="296">
        <f t="shared" si="2"/>
        <v>176.73816568047337</v>
      </c>
      <c r="I102" s="297">
        <f t="shared" si="3"/>
        <v>99.997907555815942</v>
      </c>
    </row>
    <row r="103" spans="1:9" ht="14.1" customHeight="1">
      <c r="A103" s="800"/>
      <c r="B103" s="801"/>
      <c r="C103" s="804" t="s">
        <v>267</v>
      </c>
      <c r="D103" s="803"/>
      <c r="E103" s="689">
        <v>2301</v>
      </c>
      <c r="F103" s="739">
        <v>2301</v>
      </c>
      <c r="G103" s="236">
        <f t="shared" ref="G103:G105" si="4">(F103*0.75)</f>
        <v>1725.75</v>
      </c>
      <c r="H103" s="296">
        <f t="shared" si="2"/>
        <v>75</v>
      </c>
      <c r="I103" s="297">
        <f t="shared" si="3"/>
        <v>75</v>
      </c>
    </row>
    <row r="104" spans="1:9" ht="14.1" customHeight="1">
      <c r="A104" s="800"/>
      <c r="B104" s="801"/>
      <c r="C104" s="777" t="s">
        <v>272</v>
      </c>
      <c r="D104" s="803"/>
      <c r="E104" s="689">
        <v>87</v>
      </c>
      <c r="F104" s="739">
        <v>87</v>
      </c>
      <c r="G104" s="236">
        <f t="shared" si="4"/>
        <v>65.25</v>
      </c>
      <c r="H104" s="296">
        <f t="shared" si="2"/>
        <v>75</v>
      </c>
      <c r="I104" s="297">
        <f t="shared" si="3"/>
        <v>75</v>
      </c>
    </row>
    <row r="105" spans="1:9" ht="13.5" customHeight="1" thickBot="1">
      <c r="A105" s="810"/>
      <c r="B105" s="811"/>
      <c r="C105" s="787" t="s">
        <v>270</v>
      </c>
      <c r="D105" s="812"/>
      <c r="E105" s="897">
        <v>453</v>
      </c>
      <c r="F105" s="898">
        <v>453</v>
      </c>
      <c r="G105" s="899">
        <f t="shared" si="4"/>
        <v>339.75</v>
      </c>
      <c r="H105" s="900">
        <f t="shared" si="2"/>
        <v>75</v>
      </c>
      <c r="I105" s="901">
        <f t="shared" si="3"/>
        <v>75</v>
      </c>
    </row>
    <row r="106" spans="1:9" ht="12.95" customHeight="1">
      <c r="A106" s="130"/>
      <c r="B106" s="131"/>
      <c r="C106" s="125"/>
      <c r="D106" s="126"/>
      <c r="E106" s="132"/>
      <c r="F106" s="128"/>
    </row>
    <row r="107" spans="1:9" ht="12.95" customHeight="1">
      <c r="A107" s="130"/>
      <c r="B107" s="131"/>
      <c r="C107" s="125"/>
      <c r="D107" s="126"/>
      <c r="E107" s="132"/>
      <c r="F107" s="128"/>
    </row>
    <row r="108" spans="1:9" ht="12.95" customHeight="1" thickBot="1">
      <c r="A108" s="124"/>
      <c r="B108" s="124"/>
      <c r="C108" s="125"/>
      <c r="D108" s="126"/>
      <c r="E108" s="127"/>
      <c r="F108" s="106"/>
      <c r="I108" s="107" t="s">
        <v>517</v>
      </c>
    </row>
    <row r="109" spans="1:9" ht="12.95" customHeight="1">
      <c r="A109" s="60" t="s">
        <v>1</v>
      </c>
      <c r="B109" s="61" t="s">
        <v>2</v>
      </c>
      <c r="C109" s="62" t="s">
        <v>3</v>
      </c>
      <c r="D109" s="63"/>
      <c r="E109" s="64" t="s">
        <v>4</v>
      </c>
      <c r="F109" s="94" t="s">
        <v>320</v>
      </c>
      <c r="G109" s="108" t="s">
        <v>314</v>
      </c>
      <c r="H109" s="109" t="s">
        <v>316</v>
      </c>
      <c r="I109" s="110" t="s">
        <v>316</v>
      </c>
    </row>
    <row r="110" spans="1:9" ht="12.95" customHeight="1">
      <c r="A110" s="67" t="s">
        <v>5</v>
      </c>
      <c r="B110" s="68" t="s">
        <v>6</v>
      </c>
      <c r="C110" s="69" t="s">
        <v>7</v>
      </c>
      <c r="D110" s="70" t="s">
        <v>8</v>
      </c>
      <c r="E110" s="71" t="s">
        <v>264</v>
      </c>
      <c r="F110" s="99" t="s">
        <v>321</v>
      </c>
      <c r="G110" s="111" t="s">
        <v>315</v>
      </c>
      <c r="H110" s="112" t="s">
        <v>317</v>
      </c>
      <c r="I110" s="113" t="s">
        <v>318</v>
      </c>
    </row>
    <row r="111" spans="1:9" ht="12.95" customHeight="1" thickBot="1">
      <c r="A111" s="74" t="s">
        <v>9</v>
      </c>
      <c r="B111" s="129" t="s">
        <v>10</v>
      </c>
      <c r="C111" s="76"/>
      <c r="D111" s="77"/>
      <c r="E111" s="78" t="s">
        <v>291</v>
      </c>
      <c r="F111" s="99" t="str">
        <f>Kap.01!F14</f>
        <v>k 31.12.2019</v>
      </c>
      <c r="G111" s="114">
        <f>Kap.01!G14</f>
        <v>43830</v>
      </c>
      <c r="H111" s="112" t="s">
        <v>236</v>
      </c>
      <c r="I111" s="113" t="s">
        <v>236</v>
      </c>
    </row>
    <row r="112" spans="1:9" ht="14.1" customHeight="1">
      <c r="A112" s="782"/>
      <c r="B112" s="813" t="s">
        <v>88</v>
      </c>
      <c r="C112" s="814" t="s">
        <v>89</v>
      </c>
      <c r="D112" s="815" t="s">
        <v>76</v>
      </c>
      <c r="E112" s="679">
        <v>5463</v>
      </c>
      <c r="F112" s="816">
        <f>5468.5+2451.2+2806.2</f>
        <v>10725.9</v>
      </c>
      <c r="G112" s="791">
        <v>10726</v>
      </c>
      <c r="H112" s="792">
        <f t="shared" ref="H112" si="5">G112/E112*100</f>
        <v>196.33900787113308</v>
      </c>
      <c r="I112" s="793">
        <f t="shared" ref="I112" si="6">G112/F112*100</f>
        <v>100.00093232269553</v>
      </c>
    </row>
    <row r="113" spans="1:9" ht="14.1" customHeight="1">
      <c r="A113" s="800"/>
      <c r="B113" s="801"/>
      <c r="C113" s="804" t="s">
        <v>267</v>
      </c>
      <c r="D113" s="803"/>
      <c r="E113" s="756">
        <v>2322</v>
      </c>
      <c r="F113" s="806">
        <v>2322</v>
      </c>
      <c r="G113" s="756">
        <v>2322</v>
      </c>
      <c r="H113" s="355">
        <f t="shared" ref="H113:H144" si="7">G113/E113*100</f>
        <v>100</v>
      </c>
      <c r="I113" s="356">
        <f t="shared" ref="I113:I144" si="8">G113/F113*100</f>
        <v>100</v>
      </c>
    </row>
    <row r="114" spans="1:9" ht="14.1" customHeight="1">
      <c r="A114" s="800"/>
      <c r="B114" s="801"/>
      <c r="C114" s="777" t="s">
        <v>272</v>
      </c>
      <c r="D114" s="803"/>
      <c r="E114" s="756">
        <v>94</v>
      </c>
      <c r="F114" s="806">
        <v>94</v>
      </c>
      <c r="G114" s="756">
        <v>94</v>
      </c>
      <c r="H114" s="355">
        <f t="shared" si="7"/>
        <v>100</v>
      </c>
      <c r="I114" s="356">
        <f t="shared" si="8"/>
        <v>100</v>
      </c>
    </row>
    <row r="115" spans="1:9" ht="14.1" customHeight="1">
      <c r="A115" s="800"/>
      <c r="B115" s="801"/>
      <c r="C115" s="777" t="s">
        <v>270</v>
      </c>
      <c r="D115" s="803"/>
      <c r="E115" s="756">
        <v>370</v>
      </c>
      <c r="F115" s="806">
        <v>370</v>
      </c>
      <c r="G115" s="756">
        <v>370</v>
      </c>
      <c r="H115" s="355">
        <f t="shared" si="7"/>
        <v>100</v>
      </c>
      <c r="I115" s="356">
        <f t="shared" si="8"/>
        <v>100</v>
      </c>
    </row>
    <row r="116" spans="1:9" ht="14.1" customHeight="1">
      <c r="A116" s="800"/>
      <c r="B116" s="801" t="s">
        <v>90</v>
      </c>
      <c r="C116" s="802" t="s">
        <v>91</v>
      </c>
      <c r="D116" s="803" t="s">
        <v>76</v>
      </c>
      <c r="E116" s="689">
        <v>6518</v>
      </c>
      <c r="F116" s="739">
        <f>6723.5+2249.1+811.5</f>
        <v>9784.1</v>
      </c>
      <c r="G116" s="817">
        <v>9784</v>
      </c>
      <c r="H116" s="296">
        <f t="shared" si="7"/>
        <v>150.10739490641299</v>
      </c>
      <c r="I116" s="297">
        <f t="shared" si="8"/>
        <v>99.998977933586119</v>
      </c>
    </row>
    <row r="117" spans="1:9" ht="14.1" customHeight="1">
      <c r="A117" s="800"/>
      <c r="B117" s="801"/>
      <c r="C117" s="804" t="s">
        <v>267</v>
      </c>
      <c r="D117" s="803"/>
      <c r="E117" s="756">
        <v>2564</v>
      </c>
      <c r="F117" s="806">
        <v>2564</v>
      </c>
      <c r="G117" s="756">
        <v>2564</v>
      </c>
      <c r="H117" s="355">
        <f t="shared" si="7"/>
        <v>100</v>
      </c>
      <c r="I117" s="356">
        <f t="shared" si="8"/>
        <v>100</v>
      </c>
    </row>
    <row r="118" spans="1:9" ht="14.1" customHeight="1">
      <c r="A118" s="800"/>
      <c r="B118" s="801"/>
      <c r="C118" s="777" t="s">
        <v>272</v>
      </c>
      <c r="D118" s="803"/>
      <c r="E118" s="756">
        <v>66</v>
      </c>
      <c r="F118" s="806">
        <v>66</v>
      </c>
      <c r="G118" s="756">
        <v>66</v>
      </c>
      <c r="H118" s="355">
        <f t="shared" si="7"/>
        <v>100</v>
      </c>
      <c r="I118" s="356">
        <f t="shared" si="8"/>
        <v>100</v>
      </c>
    </row>
    <row r="119" spans="1:9" ht="14.1" customHeight="1">
      <c r="A119" s="800"/>
      <c r="B119" s="801"/>
      <c r="C119" s="777" t="s">
        <v>270</v>
      </c>
      <c r="D119" s="803"/>
      <c r="E119" s="756">
        <v>1851</v>
      </c>
      <c r="F119" s="806">
        <v>1851</v>
      </c>
      <c r="G119" s="756">
        <v>1851</v>
      </c>
      <c r="H119" s="355">
        <f t="shared" si="7"/>
        <v>100</v>
      </c>
      <c r="I119" s="356">
        <f t="shared" si="8"/>
        <v>100</v>
      </c>
    </row>
    <row r="120" spans="1:9" ht="14.1" customHeight="1">
      <c r="A120" s="800"/>
      <c r="B120" s="801" t="s">
        <v>92</v>
      </c>
      <c r="C120" s="802" t="s">
        <v>93</v>
      </c>
      <c r="D120" s="803" t="s">
        <v>76</v>
      </c>
      <c r="E120" s="689">
        <v>4698</v>
      </c>
      <c r="F120" s="739">
        <f>4711.5+1874.1+77.4+1918+964.8</f>
        <v>9545.7999999999993</v>
      </c>
      <c r="G120" s="689">
        <f>4712+1874+53+1918+965</f>
        <v>9522</v>
      </c>
      <c r="H120" s="296">
        <f t="shared" si="7"/>
        <v>202.68199233716473</v>
      </c>
      <c r="I120" s="297">
        <f t="shared" si="8"/>
        <v>99.750675689832178</v>
      </c>
    </row>
    <row r="121" spans="1:9" ht="14.1" customHeight="1">
      <c r="A121" s="800"/>
      <c r="B121" s="801"/>
      <c r="C121" s="804" t="s">
        <v>267</v>
      </c>
      <c r="D121" s="803"/>
      <c r="E121" s="756">
        <v>2436</v>
      </c>
      <c r="F121" s="806">
        <v>2436</v>
      </c>
      <c r="G121" s="756">
        <v>2436</v>
      </c>
      <c r="H121" s="355">
        <f t="shared" si="7"/>
        <v>100</v>
      </c>
      <c r="I121" s="356">
        <f t="shared" si="8"/>
        <v>100</v>
      </c>
    </row>
    <row r="122" spans="1:9" ht="14.1" customHeight="1">
      <c r="A122" s="800"/>
      <c r="B122" s="801"/>
      <c r="C122" s="777" t="s">
        <v>272</v>
      </c>
      <c r="D122" s="803"/>
      <c r="E122" s="756">
        <v>55</v>
      </c>
      <c r="F122" s="806">
        <v>55</v>
      </c>
      <c r="G122" s="756">
        <v>55</v>
      </c>
      <c r="H122" s="355">
        <f t="shared" si="7"/>
        <v>100</v>
      </c>
      <c r="I122" s="356">
        <f t="shared" si="8"/>
        <v>100</v>
      </c>
    </row>
    <row r="123" spans="1:9" ht="14.1" customHeight="1">
      <c r="A123" s="800"/>
      <c r="B123" s="801"/>
      <c r="C123" s="777" t="s">
        <v>270</v>
      </c>
      <c r="D123" s="803"/>
      <c r="E123" s="756">
        <v>585</v>
      </c>
      <c r="F123" s="806">
        <v>585</v>
      </c>
      <c r="G123" s="756">
        <v>585</v>
      </c>
      <c r="H123" s="355">
        <f t="shared" si="7"/>
        <v>100</v>
      </c>
      <c r="I123" s="356">
        <f t="shared" si="8"/>
        <v>100</v>
      </c>
    </row>
    <row r="124" spans="1:9" ht="14.1" customHeight="1">
      <c r="A124" s="800"/>
      <c r="B124" s="801" t="s">
        <v>94</v>
      </c>
      <c r="C124" s="802" t="s">
        <v>95</v>
      </c>
      <c r="D124" s="803" t="s">
        <v>76</v>
      </c>
      <c r="E124" s="689">
        <v>6822</v>
      </c>
      <c r="F124" s="739">
        <f>7968.5+2633.3+2785.4</f>
        <v>13387.199999999999</v>
      </c>
      <c r="G124" s="817">
        <v>13387</v>
      </c>
      <c r="H124" s="296">
        <f t="shared" si="7"/>
        <v>196.23277631193199</v>
      </c>
      <c r="I124" s="297">
        <f t="shared" si="8"/>
        <v>99.998506035616117</v>
      </c>
    </row>
    <row r="125" spans="1:9" ht="14.1" customHeight="1">
      <c r="A125" s="800"/>
      <c r="B125" s="801"/>
      <c r="C125" s="804" t="s">
        <v>267</v>
      </c>
      <c r="D125" s="803"/>
      <c r="E125" s="756">
        <v>2839</v>
      </c>
      <c r="F125" s="806">
        <v>2839</v>
      </c>
      <c r="G125" s="756">
        <v>2839</v>
      </c>
      <c r="H125" s="355">
        <f t="shared" si="7"/>
        <v>100</v>
      </c>
      <c r="I125" s="356">
        <f t="shared" si="8"/>
        <v>100</v>
      </c>
    </row>
    <row r="126" spans="1:9" ht="14.1" customHeight="1">
      <c r="A126" s="800"/>
      <c r="B126" s="801"/>
      <c r="C126" s="777" t="s">
        <v>272</v>
      </c>
      <c r="D126" s="803"/>
      <c r="E126" s="756">
        <v>101</v>
      </c>
      <c r="F126" s="806">
        <v>101</v>
      </c>
      <c r="G126" s="756">
        <v>101</v>
      </c>
      <c r="H126" s="355">
        <f t="shared" si="7"/>
        <v>100</v>
      </c>
      <c r="I126" s="356">
        <f t="shared" si="8"/>
        <v>100</v>
      </c>
    </row>
    <row r="127" spans="1:9" ht="14.1" customHeight="1">
      <c r="A127" s="800"/>
      <c r="B127" s="801"/>
      <c r="C127" s="777" t="s">
        <v>255</v>
      </c>
      <c r="D127" s="803"/>
      <c r="E127" s="756">
        <v>300</v>
      </c>
      <c r="F127" s="806">
        <v>300</v>
      </c>
      <c r="G127" s="756">
        <v>300</v>
      </c>
      <c r="H127" s="355">
        <f t="shared" si="7"/>
        <v>100</v>
      </c>
      <c r="I127" s="356">
        <f t="shared" si="8"/>
        <v>100</v>
      </c>
    </row>
    <row r="128" spans="1:9" ht="14.1" customHeight="1">
      <c r="A128" s="800"/>
      <c r="B128" s="801"/>
      <c r="C128" s="777" t="s">
        <v>271</v>
      </c>
      <c r="D128" s="803"/>
      <c r="E128" s="756">
        <v>738</v>
      </c>
      <c r="F128" s="806">
        <v>738</v>
      </c>
      <c r="G128" s="756">
        <v>738</v>
      </c>
      <c r="H128" s="355">
        <f t="shared" si="7"/>
        <v>100</v>
      </c>
      <c r="I128" s="356">
        <f t="shared" si="8"/>
        <v>100</v>
      </c>
    </row>
    <row r="129" spans="1:9" ht="14.1" customHeight="1">
      <c r="A129" s="800"/>
      <c r="B129" s="801" t="s">
        <v>96</v>
      </c>
      <c r="C129" s="802" t="s">
        <v>97</v>
      </c>
      <c r="D129" s="803" t="s">
        <v>76</v>
      </c>
      <c r="E129" s="689">
        <v>6732</v>
      </c>
      <c r="F129" s="739">
        <f>7087.5+2007.1+1982.8</f>
        <v>11077.4</v>
      </c>
      <c r="G129" s="817">
        <v>11077</v>
      </c>
      <c r="H129" s="296">
        <f t="shared" si="7"/>
        <v>164.5424836601307</v>
      </c>
      <c r="I129" s="297">
        <f t="shared" si="8"/>
        <v>99.996389044360583</v>
      </c>
    </row>
    <row r="130" spans="1:9" ht="14.1" customHeight="1">
      <c r="A130" s="800"/>
      <c r="B130" s="801"/>
      <c r="C130" s="804" t="s">
        <v>267</v>
      </c>
      <c r="D130" s="803"/>
      <c r="E130" s="756">
        <v>1790</v>
      </c>
      <c r="F130" s="806">
        <v>1790</v>
      </c>
      <c r="G130" s="756">
        <v>1790</v>
      </c>
      <c r="H130" s="355">
        <f t="shared" si="7"/>
        <v>100</v>
      </c>
      <c r="I130" s="356">
        <f t="shared" si="8"/>
        <v>100</v>
      </c>
    </row>
    <row r="131" spans="1:9" ht="14.1" customHeight="1">
      <c r="A131" s="800"/>
      <c r="B131" s="801"/>
      <c r="C131" s="777" t="s">
        <v>272</v>
      </c>
      <c r="D131" s="803"/>
      <c r="E131" s="756">
        <v>83</v>
      </c>
      <c r="F131" s="806">
        <v>83</v>
      </c>
      <c r="G131" s="756">
        <v>83</v>
      </c>
      <c r="H131" s="355">
        <f t="shared" si="7"/>
        <v>100</v>
      </c>
      <c r="I131" s="356">
        <f t="shared" si="8"/>
        <v>100</v>
      </c>
    </row>
    <row r="132" spans="1:9" ht="14.1" customHeight="1">
      <c r="A132" s="800"/>
      <c r="B132" s="801"/>
      <c r="C132" s="777" t="s">
        <v>270</v>
      </c>
      <c r="D132" s="803"/>
      <c r="E132" s="756">
        <v>2856</v>
      </c>
      <c r="F132" s="806">
        <v>2856</v>
      </c>
      <c r="G132" s="756">
        <v>2856</v>
      </c>
      <c r="H132" s="355">
        <f t="shared" si="7"/>
        <v>100</v>
      </c>
      <c r="I132" s="356">
        <f t="shared" si="8"/>
        <v>100</v>
      </c>
    </row>
    <row r="133" spans="1:9" ht="14.1" customHeight="1">
      <c r="A133" s="800"/>
      <c r="B133" s="801" t="s">
        <v>98</v>
      </c>
      <c r="C133" s="802" t="s">
        <v>99</v>
      </c>
      <c r="D133" s="803" t="s">
        <v>76</v>
      </c>
      <c r="E133" s="689">
        <v>9211</v>
      </c>
      <c r="F133" s="739">
        <f>9616.5+2956.1+2768.1</f>
        <v>15340.7</v>
      </c>
      <c r="G133" s="817">
        <v>15341</v>
      </c>
      <c r="H133" s="296">
        <f t="shared" si="7"/>
        <v>166.55086309846922</v>
      </c>
      <c r="I133" s="297">
        <f t="shared" si="8"/>
        <v>100.0019555822094</v>
      </c>
    </row>
    <row r="134" spans="1:9" ht="14.1" customHeight="1">
      <c r="A134" s="800"/>
      <c r="B134" s="801"/>
      <c r="C134" s="804" t="s">
        <v>267</v>
      </c>
      <c r="D134" s="803"/>
      <c r="E134" s="756">
        <v>3681</v>
      </c>
      <c r="F134" s="806">
        <v>3681</v>
      </c>
      <c r="G134" s="756">
        <v>3681</v>
      </c>
      <c r="H134" s="355">
        <f t="shared" si="7"/>
        <v>100</v>
      </c>
      <c r="I134" s="356">
        <f t="shared" si="8"/>
        <v>100</v>
      </c>
    </row>
    <row r="135" spans="1:9" ht="14.1" customHeight="1">
      <c r="A135" s="800"/>
      <c r="B135" s="801"/>
      <c r="C135" s="777" t="s">
        <v>272</v>
      </c>
      <c r="D135" s="803"/>
      <c r="E135" s="756">
        <v>90</v>
      </c>
      <c r="F135" s="806">
        <v>90</v>
      </c>
      <c r="G135" s="756">
        <v>90</v>
      </c>
      <c r="H135" s="355">
        <f t="shared" si="7"/>
        <v>100</v>
      </c>
      <c r="I135" s="356">
        <f t="shared" si="8"/>
        <v>100</v>
      </c>
    </row>
    <row r="136" spans="1:9" ht="14.1" customHeight="1">
      <c r="A136" s="800"/>
      <c r="B136" s="801"/>
      <c r="C136" s="777" t="s">
        <v>270</v>
      </c>
      <c r="D136" s="803"/>
      <c r="E136" s="756">
        <v>2634</v>
      </c>
      <c r="F136" s="806">
        <v>2634</v>
      </c>
      <c r="G136" s="756">
        <v>2634</v>
      </c>
      <c r="H136" s="355">
        <f t="shared" si="7"/>
        <v>100</v>
      </c>
      <c r="I136" s="356">
        <f t="shared" si="8"/>
        <v>100</v>
      </c>
    </row>
    <row r="137" spans="1:9" ht="14.1" customHeight="1">
      <c r="A137" s="800"/>
      <c r="B137" s="801" t="s">
        <v>100</v>
      </c>
      <c r="C137" s="802" t="s">
        <v>101</v>
      </c>
      <c r="D137" s="803" t="s">
        <v>76</v>
      </c>
      <c r="E137" s="689">
        <v>7584</v>
      </c>
      <c r="F137" s="739">
        <f>7589.5+139.2+3290.4+343.5+53.1+2334.2</f>
        <v>13749.900000000001</v>
      </c>
      <c r="G137" s="689">
        <f>7590+139+3290+53+2334+232</f>
        <v>13638</v>
      </c>
      <c r="H137" s="296">
        <f t="shared" si="7"/>
        <v>179.82594936708861</v>
      </c>
      <c r="I137" s="297">
        <f t="shared" si="8"/>
        <v>99.186175899461077</v>
      </c>
    </row>
    <row r="138" spans="1:9" ht="14.1" customHeight="1">
      <c r="A138" s="800"/>
      <c r="B138" s="801"/>
      <c r="C138" s="804" t="s">
        <v>267</v>
      </c>
      <c r="D138" s="803"/>
      <c r="E138" s="756">
        <v>3500</v>
      </c>
      <c r="F138" s="806">
        <v>3500</v>
      </c>
      <c r="G138" s="756">
        <v>3500</v>
      </c>
      <c r="H138" s="355">
        <f t="shared" si="7"/>
        <v>100</v>
      </c>
      <c r="I138" s="356">
        <f t="shared" si="8"/>
        <v>100</v>
      </c>
    </row>
    <row r="139" spans="1:9" ht="14.1" customHeight="1">
      <c r="A139" s="800"/>
      <c r="B139" s="801"/>
      <c r="C139" s="777" t="s">
        <v>272</v>
      </c>
      <c r="D139" s="803"/>
      <c r="E139" s="756">
        <v>114</v>
      </c>
      <c r="F139" s="806">
        <v>114</v>
      </c>
      <c r="G139" s="756">
        <v>114</v>
      </c>
      <c r="H139" s="355">
        <f t="shared" si="7"/>
        <v>100</v>
      </c>
      <c r="I139" s="356">
        <f t="shared" si="8"/>
        <v>100</v>
      </c>
    </row>
    <row r="140" spans="1:9" ht="14.1" customHeight="1">
      <c r="A140" s="800"/>
      <c r="B140" s="801"/>
      <c r="C140" s="777" t="s">
        <v>270</v>
      </c>
      <c r="D140" s="803"/>
      <c r="E140" s="756">
        <v>619</v>
      </c>
      <c r="F140" s="806">
        <v>619</v>
      </c>
      <c r="G140" s="756">
        <v>619</v>
      </c>
      <c r="H140" s="355">
        <f t="shared" si="7"/>
        <v>100</v>
      </c>
      <c r="I140" s="356">
        <f t="shared" si="8"/>
        <v>100</v>
      </c>
    </row>
    <row r="141" spans="1:9" ht="14.1" customHeight="1">
      <c r="A141" s="800"/>
      <c r="B141" s="801" t="s">
        <v>102</v>
      </c>
      <c r="C141" s="802" t="s">
        <v>103</v>
      </c>
      <c r="D141" s="803" t="s">
        <v>76</v>
      </c>
      <c r="E141" s="679">
        <v>8233</v>
      </c>
      <c r="F141" s="680">
        <f>8258.5+3294.1+83.7+2016</f>
        <v>13652.300000000001</v>
      </c>
      <c r="G141" s="817">
        <f>13652</f>
        <v>13652</v>
      </c>
      <c r="H141" s="296">
        <f t="shared" si="7"/>
        <v>165.8204785618851</v>
      </c>
      <c r="I141" s="297">
        <f t="shared" si="8"/>
        <v>99.997802568065438</v>
      </c>
    </row>
    <row r="142" spans="1:9" ht="14.1" customHeight="1">
      <c r="A142" s="800"/>
      <c r="B142" s="801"/>
      <c r="C142" s="804" t="s">
        <v>267</v>
      </c>
      <c r="D142" s="803"/>
      <c r="E142" s="756">
        <v>3736</v>
      </c>
      <c r="F142" s="806">
        <v>3736</v>
      </c>
      <c r="G142" s="778">
        <v>3736</v>
      </c>
      <c r="H142" s="355">
        <f t="shared" si="7"/>
        <v>100</v>
      </c>
      <c r="I142" s="356">
        <f t="shared" si="8"/>
        <v>100</v>
      </c>
    </row>
    <row r="143" spans="1:9" ht="14.1" customHeight="1">
      <c r="A143" s="800"/>
      <c r="B143" s="801"/>
      <c r="C143" s="777" t="s">
        <v>272</v>
      </c>
      <c r="D143" s="803"/>
      <c r="E143" s="756">
        <v>125</v>
      </c>
      <c r="F143" s="806">
        <v>125</v>
      </c>
      <c r="G143" s="778">
        <v>125</v>
      </c>
      <c r="H143" s="355">
        <f t="shared" si="7"/>
        <v>100</v>
      </c>
      <c r="I143" s="356">
        <f t="shared" si="8"/>
        <v>100</v>
      </c>
    </row>
    <row r="144" spans="1:9" ht="14.1" customHeight="1">
      <c r="A144" s="800"/>
      <c r="B144" s="801"/>
      <c r="C144" s="777" t="s">
        <v>270</v>
      </c>
      <c r="D144" s="803"/>
      <c r="E144" s="756">
        <v>748</v>
      </c>
      <c r="F144" s="806">
        <v>748</v>
      </c>
      <c r="G144" s="778">
        <v>748</v>
      </c>
      <c r="H144" s="355">
        <f t="shared" si="7"/>
        <v>100</v>
      </c>
      <c r="I144" s="356">
        <f t="shared" si="8"/>
        <v>100</v>
      </c>
    </row>
    <row r="145" spans="1:12" s="123" customFormat="1" ht="14.1" customHeight="1">
      <c r="A145" s="886"/>
      <c r="B145" s="887"/>
      <c r="C145" s="888" t="s">
        <v>104</v>
      </c>
      <c r="D145" s="889" t="s">
        <v>76</v>
      </c>
      <c r="E145" s="497">
        <f>SUM(E146:E148)</f>
        <v>600</v>
      </c>
      <c r="F145" s="498">
        <f>SUM(F146:F148)</f>
        <v>481.8</v>
      </c>
      <c r="G145" s="497">
        <f>SUM(G146:G148)</f>
        <v>279</v>
      </c>
      <c r="H145" s="890">
        <f>G145/E145*100</f>
        <v>46.5</v>
      </c>
      <c r="I145" s="891">
        <f>G145/F145*100</f>
        <v>57.907845579078455</v>
      </c>
    </row>
    <row r="146" spans="1:12" s="123" customFormat="1" ht="14.1" customHeight="1">
      <c r="A146" s="818"/>
      <c r="B146" s="819"/>
      <c r="C146" s="821"/>
      <c r="D146" s="822" t="s">
        <v>104</v>
      </c>
      <c r="E146" s="757">
        <v>300</v>
      </c>
      <c r="F146" s="823">
        <f>260+4.3</f>
        <v>264.3</v>
      </c>
      <c r="G146" s="757">
        <f>62+4</f>
        <v>66</v>
      </c>
      <c r="H146" s="824">
        <f t="shared" ref="H146:H148" si="9">G146/E146*100</f>
        <v>22</v>
      </c>
      <c r="I146" s="825">
        <f t="shared" ref="I146:I148" si="10">G146/F146*100</f>
        <v>24.971623155505107</v>
      </c>
    </row>
    <row r="147" spans="1:12" s="123" customFormat="1" ht="14.1" customHeight="1">
      <c r="A147" s="818"/>
      <c r="B147" s="819"/>
      <c r="C147" s="821"/>
      <c r="D147" s="822" t="s">
        <v>285</v>
      </c>
      <c r="E147" s="757">
        <v>100</v>
      </c>
      <c r="F147" s="823">
        <v>17.5</v>
      </c>
      <c r="G147" s="757">
        <v>17</v>
      </c>
      <c r="H147" s="824">
        <f t="shared" si="9"/>
        <v>17</v>
      </c>
      <c r="I147" s="825">
        <f t="shared" si="10"/>
        <v>97.142857142857139</v>
      </c>
      <c r="K147" s="211"/>
      <c r="L147" s="211"/>
    </row>
    <row r="148" spans="1:12" s="123" customFormat="1" ht="14.1" customHeight="1">
      <c r="A148" s="818"/>
      <c r="B148" s="819"/>
      <c r="C148" s="821"/>
      <c r="D148" s="822" t="s">
        <v>311</v>
      </c>
      <c r="E148" s="757">
        <v>200</v>
      </c>
      <c r="F148" s="823">
        <v>200</v>
      </c>
      <c r="G148" s="757">
        <v>196</v>
      </c>
      <c r="H148" s="824">
        <f t="shared" si="9"/>
        <v>98</v>
      </c>
      <c r="I148" s="825">
        <f t="shared" si="10"/>
        <v>98</v>
      </c>
    </row>
    <row r="149" spans="1:12" s="123" customFormat="1" ht="14.1" customHeight="1">
      <c r="A149" s="818"/>
      <c r="B149" s="819"/>
      <c r="C149" s="826" t="s">
        <v>106</v>
      </c>
      <c r="D149" s="820" t="s">
        <v>107</v>
      </c>
      <c r="E149" s="966">
        <v>1800</v>
      </c>
      <c r="F149" s="964">
        <v>1017.9</v>
      </c>
      <c r="G149" s="968">
        <v>999</v>
      </c>
      <c r="H149" s="973">
        <f>G149/E149*100</f>
        <v>55.500000000000007</v>
      </c>
      <c r="I149" s="958">
        <f>G149/F149*100</f>
        <v>98.143236074270561</v>
      </c>
    </row>
    <row r="150" spans="1:12" s="123" customFormat="1" ht="14.1" customHeight="1">
      <c r="A150" s="827"/>
      <c r="B150" s="828"/>
      <c r="C150" s="829"/>
      <c r="D150" s="830" t="s">
        <v>108</v>
      </c>
      <c r="E150" s="967"/>
      <c r="F150" s="965"/>
      <c r="G150" s="969"/>
      <c r="H150" s="974"/>
      <c r="I150" s="959"/>
    </row>
    <row r="151" spans="1:12" s="123" customFormat="1" ht="14.1" customHeight="1">
      <c r="A151" s="831"/>
      <c r="B151" s="832" t="s">
        <v>109</v>
      </c>
      <c r="C151" s="833" t="s">
        <v>228</v>
      </c>
      <c r="D151" s="834" t="s">
        <v>229</v>
      </c>
      <c r="E151" s="758"/>
      <c r="F151" s="835"/>
      <c r="G151" s="836"/>
      <c r="H151" s="837"/>
      <c r="I151" s="838"/>
    </row>
    <row r="152" spans="1:12" s="123" customFormat="1" ht="14.1" customHeight="1">
      <c r="A152" s="839"/>
      <c r="B152" s="819"/>
      <c r="C152" s="840" t="s">
        <v>230</v>
      </c>
      <c r="D152" s="826" t="s">
        <v>231</v>
      </c>
      <c r="E152" s="759">
        <v>47500</v>
      </c>
      <c r="F152" s="841">
        <v>56306.5</v>
      </c>
      <c r="G152" s="759">
        <v>56306</v>
      </c>
      <c r="H152" s="842">
        <f>G152/E152*100</f>
        <v>118.53894736842105</v>
      </c>
      <c r="I152" s="843">
        <f>G152/F152*100</f>
        <v>99.999112003054719</v>
      </c>
    </row>
    <row r="153" spans="1:12" s="123" customFormat="1" ht="14.1" customHeight="1">
      <c r="A153" s="282"/>
      <c r="B153" s="783"/>
      <c r="C153" s="844"/>
      <c r="D153" s="784"/>
      <c r="E153" s="760"/>
      <c r="F153" s="845"/>
      <c r="G153" s="760"/>
      <c r="H153" s="824"/>
      <c r="I153" s="825"/>
    </row>
    <row r="154" spans="1:12" s="123" customFormat="1" ht="14.1" customHeight="1">
      <c r="A154" s="539"/>
      <c r="B154" s="846"/>
      <c r="C154" s="847"/>
      <c r="D154" s="848"/>
      <c r="E154" s="761"/>
      <c r="F154" s="849"/>
      <c r="G154" s="850"/>
      <c r="H154" s="703"/>
      <c r="I154" s="704"/>
    </row>
    <row r="155" spans="1:12" s="123" customFormat="1" ht="14.1" customHeight="1">
      <c r="A155" s="851" t="s">
        <v>241</v>
      </c>
      <c r="B155" s="962" t="s">
        <v>263</v>
      </c>
      <c r="C155" s="963"/>
      <c r="D155" s="852"/>
      <c r="E155" s="762">
        <f>E156+E157</f>
        <v>2</v>
      </c>
      <c r="F155" s="853">
        <f t="shared" ref="F155:G155" si="11">F156+F157</f>
        <v>8502</v>
      </c>
      <c r="G155" s="762">
        <f t="shared" si="11"/>
        <v>8488</v>
      </c>
      <c r="H155" s="842">
        <f>G155/E155*100</f>
        <v>424400</v>
      </c>
      <c r="I155" s="843">
        <f>G155/F155*100</f>
        <v>99.835332862855793</v>
      </c>
    </row>
    <row r="156" spans="1:12" s="123" customFormat="1" ht="14.1" customHeight="1">
      <c r="A156" s="851"/>
      <c r="B156" s="854"/>
      <c r="C156" s="844" t="s">
        <v>326</v>
      </c>
      <c r="D156" s="855" t="s">
        <v>240</v>
      </c>
      <c r="E156" s="763">
        <v>1</v>
      </c>
      <c r="F156" s="849">
        <v>5752</v>
      </c>
      <c r="G156" s="850">
        <f>3810+1941</f>
        <v>5751</v>
      </c>
      <c r="H156" s="578">
        <f t="shared" ref="H156:H157" si="12">G156/E156*100</f>
        <v>575100</v>
      </c>
      <c r="I156" s="321">
        <f t="shared" ref="I156:I157" si="13">G156/F156*100</f>
        <v>99.982614742698189</v>
      </c>
    </row>
    <row r="157" spans="1:12" s="123" customFormat="1" ht="14.1" customHeight="1" thickBot="1">
      <c r="A157" s="856"/>
      <c r="B157" s="857"/>
      <c r="C157" s="858" t="s">
        <v>327</v>
      </c>
      <c r="D157" s="859" t="s">
        <v>325</v>
      </c>
      <c r="E157" s="764">
        <v>1</v>
      </c>
      <c r="F157" s="860">
        <v>2750</v>
      </c>
      <c r="G157" s="861">
        <v>2737</v>
      </c>
      <c r="H157" s="862">
        <f t="shared" si="12"/>
        <v>273700</v>
      </c>
      <c r="I157" s="863">
        <f t="shared" si="13"/>
        <v>99.527272727272731</v>
      </c>
    </row>
    <row r="158" spans="1:12" s="123" customFormat="1" ht="14.1" customHeight="1">
      <c r="A158" s="902"/>
      <c r="B158" s="903"/>
      <c r="C158" s="904"/>
      <c r="D158" s="905"/>
      <c r="E158" s="906"/>
      <c r="F158" s="907"/>
      <c r="G158" s="908"/>
      <c r="H158" s="909"/>
      <c r="I158" s="909"/>
    </row>
    <row r="159" spans="1:12" s="123" customFormat="1" ht="14.1" customHeight="1">
      <c r="A159" s="902"/>
      <c r="B159" s="903"/>
      <c r="C159" s="904"/>
      <c r="D159" s="905"/>
      <c r="E159" s="906"/>
      <c r="F159" s="907"/>
      <c r="G159" s="908"/>
      <c r="H159" s="909"/>
      <c r="I159" s="909"/>
    </row>
    <row r="160" spans="1:12" s="123" customFormat="1" ht="14.1" customHeight="1">
      <c r="A160" s="902"/>
      <c r="B160" s="903"/>
      <c r="C160" s="904"/>
      <c r="D160" s="905"/>
      <c r="E160" s="906"/>
      <c r="F160" s="907"/>
      <c r="G160" s="908"/>
      <c r="H160" s="909"/>
      <c r="I160" s="909"/>
    </row>
    <row r="161" spans="1:11" ht="16.5" thickBot="1">
      <c r="A161" s="681"/>
      <c r="B161" s="681"/>
      <c r="C161" s="681"/>
      <c r="D161" s="864"/>
      <c r="I161" s="133" t="s">
        <v>516</v>
      </c>
    </row>
    <row r="162" spans="1:11">
      <c r="A162" s="60" t="s">
        <v>1</v>
      </c>
      <c r="B162" s="61" t="s">
        <v>2</v>
      </c>
      <c r="C162" s="62" t="s">
        <v>3</v>
      </c>
      <c r="D162" s="63"/>
      <c r="E162" s="64" t="s">
        <v>4</v>
      </c>
      <c r="F162" s="205" t="s">
        <v>320</v>
      </c>
      <c r="G162" s="205" t="s">
        <v>314</v>
      </c>
      <c r="H162" s="109" t="s">
        <v>316</v>
      </c>
      <c r="I162" s="110" t="s">
        <v>316</v>
      </c>
    </row>
    <row r="163" spans="1:11">
      <c r="A163" s="67" t="s">
        <v>5</v>
      </c>
      <c r="B163" s="68" t="s">
        <v>6</v>
      </c>
      <c r="C163" s="69" t="s">
        <v>7</v>
      </c>
      <c r="D163" s="70" t="s">
        <v>8</v>
      </c>
      <c r="E163" s="71" t="s">
        <v>319</v>
      </c>
      <c r="F163" s="145" t="s">
        <v>321</v>
      </c>
      <c r="G163" s="145" t="s">
        <v>315</v>
      </c>
      <c r="H163" s="112" t="s">
        <v>317</v>
      </c>
      <c r="I163" s="113" t="s">
        <v>318</v>
      </c>
    </row>
    <row r="164" spans="1:11" ht="15.75" thickBot="1">
      <c r="A164" s="74" t="s">
        <v>9</v>
      </c>
      <c r="B164" s="75" t="s">
        <v>10</v>
      </c>
      <c r="C164" s="76"/>
      <c r="D164" s="77"/>
      <c r="E164" s="78" t="s">
        <v>291</v>
      </c>
      <c r="F164" s="148" t="s">
        <v>525</v>
      </c>
      <c r="G164" s="148" t="s">
        <v>525</v>
      </c>
      <c r="H164" s="134" t="s">
        <v>236</v>
      </c>
      <c r="I164" s="135" t="s">
        <v>236</v>
      </c>
    </row>
    <row r="165" spans="1:11" s="136" customFormat="1" ht="14.1" customHeight="1">
      <c r="A165" s="865" t="s">
        <v>455</v>
      </c>
      <c r="B165" s="960" t="s">
        <v>450</v>
      </c>
      <c r="C165" s="961"/>
      <c r="D165" s="866"/>
      <c r="E165" s="765">
        <f>E166</f>
        <v>0</v>
      </c>
      <c r="F165" s="765">
        <f t="shared" ref="F165:G165" si="14">F166</f>
        <v>100.1</v>
      </c>
      <c r="G165" s="765">
        <f t="shared" si="14"/>
        <v>9</v>
      </c>
      <c r="H165" s="921" t="s">
        <v>557</v>
      </c>
      <c r="I165" s="220">
        <f>G165/F165*100</f>
        <v>8.9910089910089912</v>
      </c>
    </row>
    <row r="166" spans="1:11" ht="27" customHeight="1">
      <c r="A166" s="309"/>
      <c r="B166" s="854"/>
      <c r="C166" s="867" t="s">
        <v>427</v>
      </c>
      <c r="D166" s="868" t="s">
        <v>76</v>
      </c>
      <c r="E166" s="763">
        <v>0</v>
      </c>
      <c r="F166" s="235">
        <v>100.1</v>
      </c>
      <c r="G166" s="234">
        <v>9</v>
      </c>
      <c r="H166" s="920" t="s">
        <v>557</v>
      </c>
      <c r="I166" s="272">
        <f>G166/F166*100</f>
        <v>8.9910089910089912</v>
      </c>
    </row>
    <row r="167" spans="1:11" ht="14.1" customHeight="1">
      <c r="A167" s="309"/>
      <c r="B167" s="854"/>
      <c r="C167" s="867"/>
      <c r="D167" s="868"/>
      <c r="E167" s="763"/>
      <c r="F167" s="235"/>
      <c r="G167" s="234"/>
      <c r="H167" s="920"/>
      <c r="I167" s="272"/>
    </row>
    <row r="168" spans="1:11" ht="14.1" customHeight="1">
      <c r="A168" s="309" t="s">
        <v>497</v>
      </c>
      <c r="B168" s="960" t="s">
        <v>207</v>
      </c>
      <c r="C168" s="961"/>
      <c r="D168" s="868"/>
      <c r="E168" s="766">
        <f>E169</f>
        <v>0</v>
      </c>
      <c r="F168" s="498">
        <f>F169</f>
        <v>14479.5</v>
      </c>
      <c r="G168" s="216">
        <f>G169</f>
        <v>0</v>
      </c>
      <c r="H168" s="890" t="s">
        <v>557</v>
      </c>
      <c r="I168" s="264">
        <v>0</v>
      </c>
    </row>
    <row r="169" spans="1:11" ht="14.1" customHeight="1">
      <c r="A169" s="309"/>
      <c r="B169" s="854"/>
      <c r="C169" s="867" t="s">
        <v>499</v>
      </c>
      <c r="D169" s="868" t="s">
        <v>498</v>
      </c>
      <c r="E169" s="763">
        <v>0</v>
      </c>
      <c r="F169" s="235">
        <v>14479.5</v>
      </c>
      <c r="G169" s="234">
        <v>0</v>
      </c>
      <c r="H169" s="920" t="s">
        <v>557</v>
      </c>
      <c r="I169" s="272">
        <v>0</v>
      </c>
    </row>
    <row r="170" spans="1:11" ht="16.5" customHeight="1" thickBot="1">
      <c r="A170" s="869" t="s">
        <v>16</v>
      </c>
      <c r="B170" s="870"/>
      <c r="C170" s="870"/>
      <c r="D170" s="871"/>
      <c r="E170" s="767">
        <f>E8+E155+E165+E168</f>
        <v>180730</v>
      </c>
      <c r="F170" s="770">
        <f>F8+F155+F165+F168</f>
        <v>300612.89999999991</v>
      </c>
      <c r="G170" s="767">
        <f>G8+G155+G165+G168</f>
        <v>282814</v>
      </c>
      <c r="H170" s="910">
        <f t="shared" ref="H170" si="15">G170/E170*100</f>
        <v>156.48425828584075</v>
      </c>
      <c r="I170" s="911">
        <f>G170/F170*100</f>
        <v>94.079129671414663</v>
      </c>
    </row>
    <row r="171" spans="1:11" ht="15.75" thickBot="1">
      <c r="A171" s="351"/>
      <c r="B171" s="970"/>
      <c r="C171" s="971"/>
      <c r="D171" s="972"/>
      <c r="K171" s="136"/>
    </row>
    <row r="172" spans="1:11" ht="16.5" customHeight="1">
      <c r="A172" s="115" t="s">
        <v>334</v>
      </c>
      <c r="B172" s="116"/>
      <c r="C172" s="116"/>
      <c r="D172" s="117"/>
      <c r="E172" s="137"/>
      <c r="F172" s="119"/>
      <c r="G172" s="120"/>
      <c r="H172" s="121"/>
      <c r="I172" s="122"/>
    </row>
    <row r="173" spans="1:11">
      <c r="A173" s="325" t="s">
        <v>455</v>
      </c>
      <c r="B173" s="960" t="s">
        <v>450</v>
      </c>
      <c r="C173" s="961"/>
      <c r="D173" s="872" t="s">
        <v>76</v>
      </c>
      <c r="E173" s="328">
        <f>SUM(E174:E175)</f>
        <v>105000</v>
      </c>
      <c r="F173" s="329">
        <f t="shared" ref="F173:G173" si="16">SUM(F174:F175)</f>
        <v>206045.2</v>
      </c>
      <c r="G173" s="328">
        <f t="shared" si="16"/>
        <v>98664</v>
      </c>
      <c r="H173" s="263">
        <f>G173/E173*100</f>
        <v>93.965714285714284</v>
      </c>
      <c r="I173" s="264">
        <f>G173/F173*100</f>
        <v>47.884638904473384</v>
      </c>
    </row>
    <row r="174" spans="1:11" s="123" customFormat="1" ht="26.25">
      <c r="A174" s="358"/>
      <c r="B174" s="359"/>
      <c r="C174" s="873" t="s">
        <v>527</v>
      </c>
      <c r="D174" s="463" t="s">
        <v>399</v>
      </c>
      <c r="E174" s="768">
        <v>105000</v>
      </c>
      <c r="F174" s="874">
        <v>186891</v>
      </c>
      <c r="G174" s="319">
        <v>79510</v>
      </c>
      <c r="H174" s="320">
        <f t="shared" ref="H174" si="17">G174/E174*100</f>
        <v>75.723809523809521</v>
      </c>
      <c r="I174" s="321">
        <f t="shared" ref="I174" si="18">G174/F174*100</f>
        <v>42.543514668978169</v>
      </c>
    </row>
    <row r="175" spans="1:11" s="123" customFormat="1" ht="26.25">
      <c r="A175" s="358"/>
      <c r="B175" s="359"/>
      <c r="C175" s="873" t="s">
        <v>529</v>
      </c>
      <c r="D175" s="463" t="s">
        <v>528</v>
      </c>
      <c r="E175" s="768">
        <v>0</v>
      </c>
      <c r="F175" s="874">
        <v>19154.2</v>
      </c>
      <c r="G175" s="319">
        <v>19154</v>
      </c>
      <c r="H175" s="922" t="s">
        <v>557</v>
      </c>
      <c r="I175" s="321">
        <f t="shared" ref="I175" si="19">G175/F175*100</f>
        <v>99.998955842582831</v>
      </c>
    </row>
    <row r="176" spans="1:11" s="123" customFormat="1">
      <c r="A176" s="358"/>
      <c r="B176" s="359"/>
      <c r="C176" s="873"/>
      <c r="D176" s="463"/>
      <c r="E176" s="768"/>
      <c r="F176" s="874"/>
      <c r="G176" s="319"/>
      <c r="H176" s="320"/>
      <c r="I176" s="321"/>
    </row>
    <row r="177" spans="1:11">
      <c r="A177" s="325" t="s">
        <v>475</v>
      </c>
      <c r="B177" s="357" t="s">
        <v>290</v>
      </c>
      <c r="C177" s="418"/>
      <c r="D177" s="872"/>
      <c r="E177" s="328">
        <f>SUM(E178:E179)</f>
        <v>0</v>
      </c>
      <c r="F177" s="329">
        <f t="shared" ref="F177:G177" si="20">SUM(F178:F179)</f>
        <v>8600</v>
      </c>
      <c r="G177" s="328">
        <f t="shared" si="20"/>
        <v>0</v>
      </c>
      <c r="H177" s="923" t="s">
        <v>557</v>
      </c>
      <c r="I177" s="264">
        <f>G177/F177*100</f>
        <v>0</v>
      </c>
    </row>
    <row r="178" spans="1:11" s="123" customFormat="1">
      <c r="A178" s="358"/>
      <c r="B178" s="359"/>
      <c r="C178" s="873" t="s">
        <v>476</v>
      </c>
      <c r="D178" s="463" t="s">
        <v>477</v>
      </c>
      <c r="E178" s="768">
        <v>0</v>
      </c>
      <c r="F178" s="874">
        <v>600</v>
      </c>
      <c r="G178" s="319">
        <v>0</v>
      </c>
      <c r="H178" s="922" t="s">
        <v>557</v>
      </c>
      <c r="I178" s="321">
        <f t="shared" ref="I178:I179" si="21">G178/F178*100</f>
        <v>0</v>
      </c>
    </row>
    <row r="179" spans="1:11" s="123" customFormat="1">
      <c r="A179" s="358"/>
      <c r="B179" s="359"/>
      <c r="C179" s="873" t="s">
        <v>358</v>
      </c>
      <c r="D179" s="463" t="s">
        <v>477</v>
      </c>
      <c r="E179" s="768">
        <v>0</v>
      </c>
      <c r="F179" s="874">
        <v>8000</v>
      </c>
      <c r="G179" s="319">
        <v>0</v>
      </c>
      <c r="H179" s="922" t="s">
        <v>557</v>
      </c>
      <c r="I179" s="321">
        <f t="shared" si="21"/>
        <v>0</v>
      </c>
    </row>
    <row r="180" spans="1:11">
      <c r="A180" s="875"/>
      <c r="B180" s="876"/>
      <c r="C180" s="267"/>
      <c r="D180" s="267"/>
      <c r="E180" s="268"/>
      <c r="F180" s="269"/>
      <c r="G180" s="328"/>
      <c r="H180" s="263"/>
      <c r="I180" s="264"/>
    </row>
    <row r="181" spans="1:11">
      <c r="A181" s="325" t="s">
        <v>34</v>
      </c>
      <c r="B181" s="357" t="s">
        <v>35</v>
      </c>
      <c r="C181" s="743"/>
      <c r="D181" s="872" t="s">
        <v>76</v>
      </c>
      <c r="E181" s="328">
        <f>SUM(E182:E193)</f>
        <v>4000</v>
      </c>
      <c r="F181" s="329">
        <f>SUM(F182:F193)</f>
        <v>10902.5</v>
      </c>
      <c r="G181" s="328">
        <f>SUM(G182:G193)</f>
        <v>7819</v>
      </c>
      <c r="H181" s="263">
        <f t="shared" ref="H181" si="22">G181/E181*100</f>
        <v>195.47499999999999</v>
      </c>
      <c r="I181" s="264">
        <f t="shared" ref="I181" si="23">G181/F181*100</f>
        <v>71.717495987158912</v>
      </c>
    </row>
    <row r="182" spans="1:11">
      <c r="A182" s="875"/>
      <c r="B182" s="876"/>
      <c r="C182" s="267" t="s">
        <v>369</v>
      </c>
      <c r="D182" s="267" t="s">
        <v>95</v>
      </c>
      <c r="E182" s="268">
        <v>1000</v>
      </c>
      <c r="F182" s="269">
        <v>879.6</v>
      </c>
      <c r="G182" s="319">
        <v>880</v>
      </c>
      <c r="H182" s="271">
        <f t="shared" ref="H182:H195" si="24">G182/E182*100</f>
        <v>88</v>
      </c>
      <c r="I182" s="272">
        <f t="shared" ref="I182:I195" si="25">G182/F182*100</f>
        <v>100.04547521600726</v>
      </c>
    </row>
    <row r="183" spans="1:11">
      <c r="A183" s="875"/>
      <c r="B183" s="876"/>
      <c r="C183" s="267" t="s">
        <v>370</v>
      </c>
      <c r="D183" s="267" t="s">
        <v>95</v>
      </c>
      <c r="E183" s="268">
        <v>1000</v>
      </c>
      <c r="F183" s="269">
        <v>1000</v>
      </c>
      <c r="G183" s="319">
        <v>1000</v>
      </c>
      <c r="H183" s="271">
        <f t="shared" si="24"/>
        <v>100</v>
      </c>
      <c r="I183" s="272">
        <f t="shared" si="25"/>
        <v>100</v>
      </c>
    </row>
    <row r="184" spans="1:11">
      <c r="A184" s="875"/>
      <c r="B184" s="876"/>
      <c r="C184" s="267" t="s">
        <v>371</v>
      </c>
      <c r="D184" s="267" t="s">
        <v>95</v>
      </c>
      <c r="E184" s="268">
        <v>2000</v>
      </c>
      <c r="F184" s="269">
        <v>1901.9</v>
      </c>
      <c r="G184" s="319">
        <v>1902</v>
      </c>
      <c r="H184" s="271">
        <f t="shared" si="24"/>
        <v>95.1</v>
      </c>
      <c r="I184" s="272">
        <f t="shared" si="25"/>
        <v>100.00525789999475</v>
      </c>
    </row>
    <row r="185" spans="1:11">
      <c r="A185" s="875"/>
      <c r="B185" s="876"/>
      <c r="C185" s="267" t="s">
        <v>500</v>
      </c>
      <c r="D185" s="267" t="s">
        <v>95</v>
      </c>
      <c r="E185" s="268">
        <v>0</v>
      </c>
      <c r="F185" s="269">
        <v>70</v>
      </c>
      <c r="G185" s="319">
        <v>70</v>
      </c>
      <c r="H185" s="922" t="s">
        <v>557</v>
      </c>
      <c r="I185" s="272">
        <f t="shared" si="25"/>
        <v>100</v>
      </c>
    </row>
    <row r="186" spans="1:11">
      <c r="A186" s="875"/>
      <c r="B186" s="876"/>
      <c r="C186" s="267" t="s">
        <v>530</v>
      </c>
      <c r="D186" s="267" t="s">
        <v>399</v>
      </c>
      <c r="E186" s="268">
        <v>0</v>
      </c>
      <c r="F186" s="269">
        <v>810.5</v>
      </c>
      <c r="G186" s="319">
        <v>810</v>
      </c>
      <c r="H186" s="922" t="s">
        <v>557</v>
      </c>
      <c r="I186" s="272">
        <f>G186/F186*100</f>
        <v>99.938309685379394</v>
      </c>
    </row>
    <row r="187" spans="1:11">
      <c r="A187" s="875"/>
      <c r="B187" s="877" t="s">
        <v>456</v>
      </c>
      <c r="C187" s="267" t="s">
        <v>457</v>
      </c>
      <c r="D187" s="267" t="s">
        <v>93</v>
      </c>
      <c r="E187" s="268">
        <v>0</v>
      </c>
      <c r="F187" s="269">
        <f>220+176</f>
        <v>396</v>
      </c>
      <c r="G187" s="319">
        <v>376</v>
      </c>
      <c r="H187" s="922" t="s">
        <v>557</v>
      </c>
      <c r="I187" s="272">
        <f t="shared" ref="I187:I193" si="26">G187/F187*100</f>
        <v>94.949494949494948</v>
      </c>
    </row>
    <row r="188" spans="1:11">
      <c r="A188" s="875"/>
      <c r="B188" s="877" t="s">
        <v>458</v>
      </c>
      <c r="C188" s="267" t="s">
        <v>457</v>
      </c>
      <c r="D188" s="267" t="s">
        <v>103</v>
      </c>
      <c r="E188" s="268">
        <v>0</v>
      </c>
      <c r="F188" s="269">
        <v>42.2</v>
      </c>
      <c r="G188" s="319">
        <v>21</v>
      </c>
      <c r="H188" s="922" t="s">
        <v>557</v>
      </c>
      <c r="I188" s="272">
        <f t="shared" si="26"/>
        <v>49.763033175355446</v>
      </c>
      <c r="K188" s="197"/>
    </row>
    <row r="189" spans="1:11">
      <c r="A189" s="875"/>
      <c r="B189" s="878">
        <v>2360485048416</v>
      </c>
      <c r="C189" s="267" t="s">
        <v>457</v>
      </c>
      <c r="D189" s="267" t="s">
        <v>80</v>
      </c>
      <c r="E189" s="268">
        <v>0</v>
      </c>
      <c r="F189" s="269">
        <v>841.3</v>
      </c>
      <c r="G189" s="319">
        <v>490</v>
      </c>
      <c r="H189" s="922" t="s">
        <v>557</v>
      </c>
      <c r="I189" s="272">
        <f t="shared" si="26"/>
        <v>58.243195055271599</v>
      </c>
    </row>
    <row r="190" spans="1:11">
      <c r="A190" s="875"/>
      <c r="B190" s="877" t="s">
        <v>459</v>
      </c>
      <c r="C190" s="267" t="s">
        <v>460</v>
      </c>
      <c r="D190" s="267" t="s">
        <v>101</v>
      </c>
      <c r="E190" s="268">
        <v>0</v>
      </c>
      <c r="F190" s="269">
        <v>1123.9000000000001</v>
      </c>
      <c r="G190" s="319">
        <v>502</v>
      </c>
      <c r="H190" s="922" t="s">
        <v>557</v>
      </c>
      <c r="I190" s="272">
        <f t="shared" si="26"/>
        <v>44.665895542308029</v>
      </c>
    </row>
    <row r="191" spans="1:11">
      <c r="A191" s="875"/>
      <c r="B191" s="877" t="s">
        <v>461</v>
      </c>
      <c r="C191" s="267" t="s">
        <v>460</v>
      </c>
      <c r="D191" s="267" t="s">
        <v>462</v>
      </c>
      <c r="E191" s="268">
        <v>0</v>
      </c>
      <c r="F191" s="269">
        <v>1359.1</v>
      </c>
      <c r="G191" s="319">
        <v>617</v>
      </c>
      <c r="H191" s="922" t="s">
        <v>557</v>
      </c>
      <c r="I191" s="272">
        <f t="shared" si="26"/>
        <v>45.397689647560888</v>
      </c>
    </row>
    <row r="192" spans="1:11">
      <c r="A192" s="875"/>
      <c r="B192" s="877" t="s">
        <v>463</v>
      </c>
      <c r="C192" s="267" t="s">
        <v>460</v>
      </c>
      <c r="D192" s="267" t="s">
        <v>464</v>
      </c>
      <c r="E192" s="268">
        <v>0</v>
      </c>
      <c r="F192" s="269">
        <v>657.7</v>
      </c>
      <c r="G192" s="319">
        <v>269</v>
      </c>
      <c r="H192" s="922" t="s">
        <v>557</v>
      </c>
      <c r="I192" s="272">
        <f t="shared" si="26"/>
        <v>40.900106431503723</v>
      </c>
    </row>
    <row r="193" spans="1:9">
      <c r="A193" s="875"/>
      <c r="B193" s="877" t="s">
        <v>465</v>
      </c>
      <c r="C193" s="267" t="s">
        <v>460</v>
      </c>
      <c r="D193" s="267" t="s">
        <v>80</v>
      </c>
      <c r="E193" s="268">
        <v>0</v>
      </c>
      <c r="F193" s="269">
        <v>1820.3</v>
      </c>
      <c r="G193" s="319">
        <v>882</v>
      </c>
      <c r="H193" s="922" t="s">
        <v>557</v>
      </c>
      <c r="I193" s="272">
        <f t="shared" si="26"/>
        <v>48.453551612371584</v>
      </c>
    </row>
    <row r="194" spans="1:9">
      <c r="A194" s="875"/>
      <c r="B194" s="876"/>
      <c r="C194" s="267"/>
      <c r="D194" s="267"/>
      <c r="E194" s="268"/>
      <c r="F194" s="269"/>
      <c r="G194" s="328"/>
      <c r="H194" s="263"/>
      <c r="I194" s="264"/>
    </row>
    <row r="195" spans="1:9">
      <c r="A195" s="325" t="s">
        <v>34</v>
      </c>
      <c r="B195" s="357" t="s">
        <v>372</v>
      </c>
      <c r="C195" s="743"/>
      <c r="D195" s="418" t="s">
        <v>423</v>
      </c>
      <c r="E195" s="328">
        <f>SUM(E196:E238)</f>
        <v>49602</v>
      </c>
      <c r="F195" s="329">
        <f t="shared" ref="F195:G195" si="27">SUM(F196:F238)</f>
        <v>109211.70000000001</v>
      </c>
      <c r="G195" s="328">
        <f t="shared" si="27"/>
        <v>88491</v>
      </c>
      <c r="H195" s="263">
        <f t="shared" si="24"/>
        <v>178.4020805612677</v>
      </c>
      <c r="I195" s="264">
        <f t="shared" si="25"/>
        <v>81.027032817912357</v>
      </c>
    </row>
    <row r="196" spans="1:9">
      <c r="A196" s="875"/>
      <c r="B196" s="876"/>
      <c r="C196" s="267" t="s">
        <v>373</v>
      </c>
      <c r="D196" s="267" t="s">
        <v>374</v>
      </c>
      <c r="E196" s="268">
        <v>520</v>
      </c>
      <c r="F196" s="269">
        <v>0</v>
      </c>
      <c r="G196" s="270">
        <v>0</v>
      </c>
      <c r="H196" s="271">
        <f t="shared" ref="H196" si="28">G196/E196*100</f>
        <v>0</v>
      </c>
      <c r="I196" s="272">
        <v>0</v>
      </c>
    </row>
    <row r="197" spans="1:9">
      <c r="A197" s="875"/>
      <c r="B197" s="876"/>
      <c r="C197" s="267" t="s">
        <v>375</v>
      </c>
      <c r="D197" s="267" t="s">
        <v>374</v>
      </c>
      <c r="E197" s="268">
        <v>1130</v>
      </c>
      <c r="F197" s="269">
        <v>155.1</v>
      </c>
      <c r="G197" s="270">
        <v>155</v>
      </c>
      <c r="H197" s="271">
        <f t="shared" ref="H197:H232" si="29">G197/E197*100</f>
        <v>13.716814159292035</v>
      </c>
      <c r="I197" s="272">
        <f t="shared" ref="I197:I238" si="30">G197/F197*100</f>
        <v>99.935525467440371</v>
      </c>
    </row>
    <row r="198" spans="1:9">
      <c r="A198" s="875"/>
      <c r="B198" s="876"/>
      <c r="C198" s="267" t="s">
        <v>376</v>
      </c>
      <c r="D198" s="267" t="s">
        <v>374</v>
      </c>
      <c r="E198" s="268">
        <v>7900</v>
      </c>
      <c r="F198" s="269">
        <v>7440.3</v>
      </c>
      <c r="G198" s="270">
        <v>7134</v>
      </c>
      <c r="H198" s="271">
        <f t="shared" si="29"/>
        <v>90.303797468354432</v>
      </c>
      <c r="I198" s="272">
        <f t="shared" si="30"/>
        <v>95.883230514898585</v>
      </c>
    </row>
    <row r="199" spans="1:9" s="123" customFormat="1" ht="26.25">
      <c r="A199" s="875"/>
      <c r="B199" s="876"/>
      <c r="C199" s="463" t="s">
        <v>377</v>
      </c>
      <c r="D199" s="463" t="s">
        <v>374</v>
      </c>
      <c r="E199" s="323">
        <v>4500</v>
      </c>
      <c r="F199" s="324">
        <v>0</v>
      </c>
      <c r="G199" s="270">
        <v>0</v>
      </c>
      <c r="H199" s="271">
        <f t="shared" si="29"/>
        <v>0</v>
      </c>
      <c r="I199" s="924" t="s">
        <v>557</v>
      </c>
    </row>
    <row r="200" spans="1:9">
      <c r="A200" s="875"/>
      <c r="B200" s="876"/>
      <c r="C200" s="267" t="s">
        <v>378</v>
      </c>
      <c r="D200" s="267" t="s">
        <v>95</v>
      </c>
      <c r="E200" s="268">
        <v>7120</v>
      </c>
      <c r="F200" s="269">
        <v>0</v>
      </c>
      <c r="G200" s="270">
        <v>0</v>
      </c>
      <c r="H200" s="271">
        <f t="shared" si="29"/>
        <v>0</v>
      </c>
      <c r="I200" s="924" t="s">
        <v>557</v>
      </c>
    </row>
    <row r="201" spans="1:9" s="123" customFormat="1" ht="26.25">
      <c r="A201" s="875"/>
      <c r="B201" s="876"/>
      <c r="C201" s="463" t="s">
        <v>379</v>
      </c>
      <c r="D201" s="463" t="s">
        <v>380</v>
      </c>
      <c r="E201" s="323">
        <v>1800</v>
      </c>
      <c r="F201" s="324">
        <v>3031.1</v>
      </c>
      <c r="G201" s="270">
        <v>3031</v>
      </c>
      <c r="H201" s="271">
        <f t="shared" si="29"/>
        <v>168.38888888888889</v>
      </c>
      <c r="I201" s="272">
        <f t="shared" si="30"/>
        <v>99.996700867671805</v>
      </c>
    </row>
    <row r="202" spans="1:9">
      <c r="A202" s="875"/>
      <c r="B202" s="876"/>
      <c r="C202" s="267" t="s">
        <v>381</v>
      </c>
      <c r="D202" s="267" t="s">
        <v>66</v>
      </c>
      <c r="E202" s="268">
        <v>750</v>
      </c>
      <c r="F202" s="269">
        <v>1104.3</v>
      </c>
      <c r="G202" s="270">
        <v>1104</v>
      </c>
      <c r="H202" s="271">
        <f t="shared" si="29"/>
        <v>147.19999999999999</v>
      </c>
      <c r="I202" s="272">
        <f t="shared" si="30"/>
        <v>99.972833469165991</v>
      </c>
    </row>
    <row r="203" spans="1:9">
      <c r="A203" s="875"/>
      <c r="B203" s="876"/>
      <c r="C203" s="267" t="s">
        <v>382</v>
      </c>
      <c r="D203" s="267" t="s">
        <v>383</v>
      </c>
      <c r="E203" s="268">
        <v>500</v>
      </c>
      <c r="F203" s="269">
        <v>479.2</v>
      </c>
      <c r="G203" s="270">
        <v>479</v>
      </c>
      <c r="H203" s="271">
        <f t="shared" si="29"/>
        <v>95.8</v>
      </c>
      <c r="I203" s="272">
        <f t="shared" si="30"/>
        <v>99.958263772954922</v>
      </c>
    </row>
    <row r="204" spans="1:9">
      <c r="A204" s="875"/>
      <c r="B204" s="876"/>
      <c r="C204" s="267" t="s">
        <v>384</v>
      </c>
      <c r="D204" s="267" t="s">
        <v>385</v>
      </c>
      <c r="E204" s="268">
        <v>4161</v>
      </c>
      <c r="F204" s="269">
        <v>4144.2</v>
      </c>
      <c r="G204" s="270">
        <v>4144</v>
      </c>
      <c r="H204" s="271">
        <f t="shared" si="29"/>
        <v>99.591444364335487</v>
      </c>
      <c r="I204" s="272">
        <f t="shared" si="30"/>
        <v>99.995173978089866</v>
      </c>
    </row>
    <row r="205" spans="1:9">
      <c r="A205" s="875"/>
      <c r="B205" s="876"/>
      <c r="C205" s="267" t="s">
        <v>386</v>
      </c>
      <c r="D205" s="267" t="s">
        <v>42</v>
      </c>
      <c r="E205" s="268">
        <v>5450</v>
      </c>
      <c r="F205" s="269">
        <v>0</v>
      </c>
      <c r="G205" s="270">
        <v>0</v>
      </c>
      <c r="H205" s="271">
        <f t="shared" si="29"/>
        <v>0</v>
      </c>
      <c r="I205" s="924" t="s">
        <v>557</v>
      </c>
    </row>
    <row r="206" spans="1:9">
      <c r="A206" s="875"/>
      <c r="B206" s="876"/>
      <c r="C206" s="267" t="s">
        <v>387</v>
      </c>
      <c r="D206" s="267" t="s">
        <v>383</v>
      </c>
      <c r="E206" s="268">
        <v>1500</v>
      </c>
      <c r="F206" s="269">
        <v>1199.9000000000001</v>
      </c>
      <c r="G206" s="270">
        <v>1200</v>
      </c>
      <c r="H206" s="271">
        <f t="shared" si="29"/>
        <v>80</v>
      </c>
      <c r="I206" s="272">
        <f t="shared" si="30"/>
        <v>100.00833402783564</v>
      </c>
    </row>
    <row r="207" spans="1:9" ht="15.75" thickBot="1">
      <c r="A207" s="879"/>
      <c r="B207" s="880"/>
      <c r="C207" s="881" t="s">
        <v>388</v>
      </c>
      <c r="D207" s="881" t="s">
        <v>383</v>
      </c>
      <c r="E207" s="769">
        <v>1000</v>
      </c>
      <c r="F207" s="882">
        <v>747.9</v>
      </c>
      <c r="G207" s="883">
        <v>748</v>
      </c>
      <c r="H207" s="884">
        <f t="shared" si="29"/>
        <v>74.8</v>
      </c>
      <c r="I207" s="885">
        <f t="shared" si="30"/>
        <v>100.01337077149353</v>
      </c>
    </row>
    <row r="208" spans="1:9">
      <c r="A208" s="198"/>
      <c r="B208" s="198"/>
      <c r="C208" s="199"/>
      <c r="D208" s="199"/>
      <c r="E208" s="200"/>
      <c r="F208" s="201"/>
      <c r="G208" s="202"/>
      <c r="H208" s="203"/>
      <c r="I208" s="204"/>
    </row>
    <row r="209" spans="1:9" ht="15.75" thickBot="1">
      <c r="A209" s="198"/>
      <c r="B209" s="198"/>
      <c r="C209" s="199"/>
      <c r="D209" s="199"/>
      <c r="E209" s="200"/>
      <c r="F209" s="201"/>
      <c r="G209" s="202"/>
      <c r="H209" s="203"/>
      <c r="I209" s="133" t="s">
        <v>515</v>
      </c>
    </row>
    <row r="210" spans="1:9">
      <c r="A210" s="60" t="s">
        <v>1</v>
      </c>
      <c r="B210" s="61" t="s">
        <v>2</v>
      </c>
      <c r="C210" s="62" t="s">
        <v>3</v>
      </c>
      <c r="D210" s="63"/>
      <c r="E210" s="64" t="s">
        <v>4</v>
      </c>
      <c r="F210" s="205" t="s">
        <v>320</v>
      </c>
      <c r="G210" s="108" t="s">
        <v>314</v>
      </c>
      <c r="H210" s="109" t="s">
        <v>316</v>
      </c>
      <c r="I210" s="110" t="s">
        <v>316</v>
      </c>
    </row>
    <row r="211" spans="1:9">
      <c r="A211" s="67" t="s">
        <v>5</v>
      </c>
      <c r="B211" s="68" t="s">
        <v>6</v>
      </c>
      <c r="C211" s="69" t="s">
        <v>7</v>
      </c>
      <c r="D211" s="70" t="s">
        <v>8</v>
      </c>
      <c r="E211" s="71" t="s">
        <v>319</v>
      </c>
      <c r="F211" s="145" t="s">
        <v>321</v>
      </c>
      <c r="G211" s="111" t="s">
        <v>315</v>
      </c>
      <c r="H211" s="112" t="s">
        <v>317</v>
      </c>
      <c r="I211" s="113" t="s">
        <v>318</v>
      </c>
    </row>
    <row r="212" spans="1:9" ht="15.75" thickBot="1">
      <c r="A212" s="74" t="s">
        <v>9</v>
      </c>
      <c r="B212" s="75" t="s">
        <v>10</v>
      </c>
      <c r="C212" s="76"/>
      <c r="D212" s="77"/>
      <c r="E212" s="78" t="s">
        <v>291</v>
      </c>
      <c r="F212" s="148" t="s">
        <v>525</v>
      </c>
      <c r="G212" s="148" t="s">
        <v>525</v>
      </c>
      <c r="H212" s="134" t="s">
        <v>236</v>
      </c>
      <c r="I212" s="135" t="s">
        <v>236</v>
      </c>
    </row>
    <row r="213" spans="1:9" ht="15.75">
      <c r="A213" s="115" t="s">
        <v>334</v>
      </c>
      <c r="B213" s="116"/>
      <c r="C213" s="116"/>
      <c r="D213" s="117"/>
      <c r="E213" s="137"/>
      <c r="F213" s="119"/>
      <c r="G213" s="120"/>
      <c r="H213" s="121"/>
      <c r="I213" s="122"/>
    </row>
    <row r="214" spans="1:9">
      <c r="A214" s="325" t="s">
        <v>34</v>
      </c>
      <c r="B214" s="357" t="s">
        <v>372</v>
      </c>
      <c r="C214" s="743"/>
      <c r="D214" s="418" t="s">
        <v>423</v>
      </c>
      <c r="E214" s="268"/>
      <c r="F214" s="269"/>
      <c r="G214" s="270"/>
      <c r="H214" s="271"/>
      <c r="I214" s="272"/>
    </row>
    <row r="215" spans="1:9">
      <c r="A215" s="265"/>
      <c r="B215" s="266"/>
      <c r="C215" s="267" t="s">
        <v>389</v>
      </c>
      <c r="D215" s="267" t="s">
        <v>101</v>
      </c>
      <c r="E215" s="268">
        <v>1000</v>
      </c>
      <c r="F215" s="269">
        <v>611</v>
      </c>
      <c r="G215" s="270">
        <v>611</v>
      </c>
      <c r="H215" s="271">
        <f t="shared" si="29"/>
        <v>61.1</v>
      </c>
      <c r="I215" s="272">
        <f t="shared" si="30"/>
        <v>100</v>
      </c>
    </row>
    <row r="216" spans="1:9">
      <c r="A216" s="265"/>
      <c r="B216" s="266"/>
      <c r="C216" s="267" t="s">
        <v>375</v>
      </c>
      <c r="D216" s="267" t="s">
        <v>390</v>
      </c>
      <c r="E216" s="268">
        <v>11</v>
      </c>
      <c r="F216" s="269">
        <v>11</v>
      </c>
      <c r="G216" s="270">
        <v>11</v>
      </c>
      <c r="H216" s="271">
        <f t="shared" si="29"/>
        <v>100</v>
      </c>
      <c r="I216" s="272">
        <f t="shared" si="30"/>
        <v>100</v>
      </c>
    </row>
    <row r="217" spans="1:9">
      <c r="A217" s="265"/>
      <c r="B217" s="266"/>
      <c r="C217" s="267" t="s">
        <v>391</v>
      </c>
      <c r="D217" s="267" t="s">
        <v>380</v>
      </c>
      <c r="E217" s="268">
        <v>66</v>
      </c>
      <c r="F217" s="269">
        <v>66</v>
      </c>
      <c r="G217" s="270">
        <v>0</v>
      </c>
      <c r="H217" s="271">
        <f t="shared" si="29"/>
        <v>0</v>
      </c>
      <c r="I217" s="272">
        <f t="shared" si="30"/>
        <v>0</v>
      </c>
    </row>
    <row r="218" spans="1:9">
      <c r="A218" s="265"/>
      <c r="B218" s="266"/>
      <c r="C218" s="267" t="s">
        <v>392</v>
      </c>
      <c r="D218" s="267" t="s">
        <v>341</v>
      </c>
      <c r="E218" s="268">
        <v>2091</v>
      </c>
      <c r="F218" s="269">
        <v>2091</v>
      </c>
      <c r="G218" s="270">
        <v>2091</v>
      </c>
      <c r="H218" s="271">
        <f t="shared" si="29"/>
        <v>100</v>
      </c>
      <c r="I218" s="272">
        <f t="shared" si="30"/>
        <v>100</v>
      </c>
    </row>
    <row r="219" spans="1:9">
      <c r="A219" s="265"/>
      <c r="B219" s="266"/>
      <c r="C219" s="267" t="s">
        <v>393</v>
      </c>
      <c r="D219" s="267" t="s">
        <v>89</v>
      </c>
      <c r="E219" s="268">
        <v>2200</v>
      </c>
      <c r="F219" s="269">
        <v>2093.3000000000002</v>
      </c>
      <c r="G219" s="270">
        <v>2093</v>
      </c>
      <c r="H219" s="271">
        <f t="shared" si="29"/>
        <v>95.13636363636364</v>
      </c>
      <c r="I219" s="272">
        <f t="shared" si="30"/>
        <v>99.985668561601287</v>
      </c>
    </row>
    <row r="220" spans="1:9">
      <c r="A220" s="265"/>
      <c r="B220" s="266"/>
      <c r="C220" s="267" t="s">
        <v>339</v>
      </c>
      <c r="D220" s="267" t="s">
        <v>44</v>
      </c>
      <c r="E220" s="268">
        <v>25</v>
      </c>
      <c r="F220" s="269">
        <v>0</v>
      </c>
      <c r="G220" s="270">
        <v>0</v>
      </c>
      <c r="H220" s="271">
        <f t="shared" si="29"/>
        <v>0</v>
      </c>
      <c r="I220" s="924" t="s">
        <v>557</v>
      </c>
    </row>
    <row r="221" spans="1:9">
      <c r="A221" s="265"/>
      <c r="B221" s="266"/>
      <c r="C221" s="267" t="s">
        <v>394</v>
      </c>
      <c r="D221" s="267" t="s">
        <v>395</v>
      </c>
      <c r="E221" s="268">
        <v>28</v>
      </c>
      <c r="F221" s="269">
        <v>6042.1</v>
      </c>
      <c r="G221" s="270">
        <v>6042</v>
      </c>
      <c r="H221" s="271">
        <f t="shared" si="29"/>
        <v>21578.571428571428</v>
      </c>
      <c r="I221" s="272">
        <f t="shared" si="30"/>
        <v>99.9983449462935</v>
      </c>
    </row>
    <row r="222" spans="1:9">
      <c r="A222" s="265"/>
      <c r="B222" s="266"/>
      <c r="C222" s="267" t="s">
        <v>340</v>
      </c>
      <c r="D222" s="267" t="s">
        <v>54</v>
      </c>
      <c r="E222" s="268">
        <v>25</v>
      </c>
      <c r="F222" s="269">
        <v>0</v>
      </c>
      <c r="G222" s="270">
        <v>0</v>
      </c>
      <c r="H222" s="271">
        <f t="shared" si="29"/>
        <v>0</v>
      </c>
      <c r="I222" s="924" t="s">
        <v>557</v>
      </c>
    </row>
    <row r="223" spans="1:9">
      <c r="A223" s="265"/>
      <c r="B223" s="266"/>
      <c r="C223" s="267" t="s">
        <v>396</v>
      </c>
      <c r="D223" s="267" t="s">
        <v>52</v>
      </c>
      <c r="E223" s="268">
        <v>25</v>
      </c>
      <c r="F223" s="269">
        <v>0</v>
      </c>
      <c r="G223" s="270">
        <v>0</v>
      </c>
      <c r="H223" s="271">
        <f t="shared" si="29"/>
        <v>0</v>
      </c>
      <c r="I223" s="924" t="s">
        <v>557</v>
      </c>
    </row>
    <row r="224" spans="1:9">
      <c r="A224" s="265"/>
      <c r="B224" s="266"/>
      <c r="C224" s="267" t="s">
        <v>466</v>
      </c>
      <c r="D224" s="267" t="s">
        <v>467</v>
      </c>
      <c r="E224" s="268">
        <v>0</v>
      </c>
      <c r="F224" s="269">
        <v>346</v>
      </c>
      <c r="G224" s="270">
        <v>339</v>
      </c>
      <c r="H224" s="922" t="s">
        <v>557</v>
      </c>
      <c r="I224" s="272">
        <f t="shared" si="30"/>
        <v>97.97687861271676</v>
      </c>
    </row>
    <row r="225" spans="1:9" ht="25.5">
      <c r="A225" s="265"/>
      <c r="B225" s="266"/>
      <c r="C225" s="267" t="s">
        <v>468</v>
      </c>
      <c r="D225" s="463" t="s">
        <v>101</v>
      </c>
      <c r="E225" s="323">
        <v>0</v>
      </c>
      <c r="F225" s="324">
        <v>4022.9</v>
      </c>
      <c r="G225" s="270">
        <v>4023</v>
      </c>
      <c r="H225" s="922" t="s">
        <v>557</v>
      </c>
      <c r="I225" s="272">
        <f t="shared" si="30"/>
        <v>100.00248576897263</v>
      </c>
    </row>
    <row r="226" spans="1:9">
      <c r="A226" s="265"/>
      <c r="B226" s="266"/>
      <c r="C226" s="267" t="s">
        <v>469</v>
      </c>
      <c r="D226" s="267" t="s">
        <v>380</v>
      </c>
      <c r="E226" s="268">
        <v>0</v>
      </c>
      <c r="F226" s="269">
        <v>2300</v>
      </c>
      <c r="G226" s="270">
        <v>2300</v>
      </c>
      <c r="H226" s="922" t="s">
        <v>557</v>
      </c>
      <c r="I226" s="272">
        <f t="shared" si="30"/>
        <v>100</v>
      </c>
    </row>
    <row r="227" spans="1:9">
      <c r="A227" s="265"/>
      <c r="B227" s="266"/>
      <c r="C227" s="267" t="s">
        <v>470</v>
      </c>
      <c r="D227" s="267" t="s">
        <v>265</v>
      </c>
      <c r="E227" s="268">
        <v>0</v>
      </c>
      <c r="F227" s="269">
        <v>3542.5</v>
      </c>
      <c r="G227" s="270">
        <v>3542</v>
      </c>
      <c r="H227" s="922" t="s">
        <v>557</v>
      </c>
      <c r="I227" s="272">
        <f t="shared" si="30"/>
        <v>99.985885673959075</v>
      </c>
    </row>
    <row r="228" spans="1:9">
      <c r="A228" s="265"/>
      <c r="B228" s="266"/>
      <c r="C228" s="267" t="s">
        <v>531</v>
      </c>
      <c r="D228" s="267" t="s">
        <v>532</v>
      </c>
      <c r="E228" s="268">
        <v>0</v>
      </c>
      <c r="F228" s="269">
        <v>3036.6</v>
      </c>
      <c r="G228" s="270">
        <v>3037</v>
      </c>
      <c r="H228" s="922" t="s">
        <v>557</v>
      </c>
      <c r="I228" s="272">
        <f t="shared" ref="I228" si="31">G228/F228*100</f>
        <v>100.01317262728051</v>
      </c>
    </row>
    <row r="229" spans="1:9">
      <c r="A229" s="265"/>
      <c r="B229" s="266"/>
      <c r="C229" s="267" t="s">
        <v>471</v>
      </c>
      <c r="D229" s="267" t="s">
        <v>68</v>
      </c>
      <c r="E229" s="268">
        <v>0</v>
      </c>
      <c r="F229" s="269">
        <v>2990.3</v>
      </c>
      <c r="G229" s="270">
        <v>2990</v>
      </c>
      <c r="H229" s="922" t="s">
        <v>557</v>
      </c>
      <c r="I229" s="272">
        <f t="shared" si="30"/>
        <v>99.989967561783089</v>
      </c>
    </row>
    <row r="230" spans="1:9">
      <c r="A230" s="265"/>
      <c r="B230" s="266"/>
      <c r="C230" s="267" t="s">
        <v>472</v>
      </c>
      <c r="D230" s="267" t="s">
        <v>473</v>
      </c>
      <c r="E230" s="268">
        <v>0</v>
      </c>
      <c r="F230" s="269">
        <v>8930.9</v>
      </c>
      <c r="G230" s="270">
        <v>6000</v>
      </c>
      <c r="H230" s="922" t="s">
        <v>557</v>
      </c>
      <c r="I230" s="272">
        <f t="shared" si="30"/>
        <v>67.182478809526486</v>
      </c>
    </row>
    <row r="231" spans="1:9">
      <c r="A231" s="265"/>
      <c r="B231" s="266"/>
      <c r="C231" s="267" t="s">
        <v>474</v>
      </c>
      <c r="D231" s="267" t="s">
        <v>380</v>
      </c>
      <c r="E231" s="268">
        <v>0</v>
      </c>
      <c r="F231" s="269">
        <v>18120</v>
      </c>
      <c r="G231" s="270">
        <v>6710</v>
      </c>
      <c r="H231" s="922" t="s">
        <v>557</v>
      </c>
      <c r="I231" s="272">
        <f t="shared" si="30"/>
        <v>37.030905077262695</v>
      </c>
    </row>
    <row r="232" spans="1:9">
      <c r="A232" s="265"/>
      <c r="B232" s="266"/>
      <c r="C232" s="267" t="s">
        <v>397</v>
      </c>
      <c r="D232" s="267" t="s">
        <v>398</v>
      </c>
      <c r="E232" s="268">
        <v>7800</v>
      </c>
      <c r="F232" s="269">
        <v>5874.5</v>
      </c>
      <c r="G232" s="270">
        <v>5875</v>
      </c>
      <c r="H232" s="271">
        <f t="shared" si="29"/>
        <v>75.320512820512818</v>
      </c>
      <c r="I232" s="272">
        <f t="shared" si="30"/>
        <v>100.00851136266917</v>
      </c>
    </row>
    <row r="233" spans="1:9">
      <c r="A233" s="265"/>
      <c r="B233" s="266"/>
      <c r="C233" s="267" t="s">
        <v>501</v>
      </c>
      <c r="D233" s="267" t="s">
        <v>502</v>
      </c>
      <c r="E233" s="268">
        <v>0</v>
      </c>
      <c r="F233" s="269">
        <v>522.5</v>
      </c>
      <c r="G233" s="270">
        <v>523</v>
      </c>
      <c r="H233" s="922" t="s">
        <v>557</v>
      </c>
      <c r="I233" s="272">
        <f t="shared" si="30"/>
        <v>100.09569377990431</v>
      </c>
    </row>
    <row r="234" spans="1:9">
      <c r="A234" s="265"/>
      <c r="B234" s="266"/>
      <c r="C234" s="267" t="s">
        <v>503</v>
      </c>
      <c r="D234" s="267" t="s">
        <v>502</v>
      </c>
      <c r="E234" s="268">
        <v>0</v>
      </c>
      <c r="F234" s="269">
        <v>6700</v>
      </c>
      <c r="G234" s="270">
        <v>6700</v>
      </c>
      <c r="H234" s="922" t="s">
        <v>557</v>
      </c>
      <c r="I234" s="272">
        <f t="shared" si="30"/>
        <v>100</v>
      </c>
    </row>
    <row r="235" spans="1:9">
      <c r="A235" s="265"/>
      <c r="B235" s="266"/>
      <c r="C235" s="267" t="s">
        <v>504</v>
      </c>
      <c r="D235" s="267" t="s">
        <v>95</v>
      </c>
      <c r="E235" s="268">
        <v>0</v>
      </c>
      <c r="F235" s="269">
        <v>15000</v>
      </c>
      <c r="G235" s="270">
        <v>15000</v>
      </c>
      <c r="H235" s="922" t="s">
        <v>557</v>
      </c>
      <c r="I235" s="272">
        <f t="shared" si="30"/>
        <v>100</v>
      </c>
    </row>
    <row r="236" spans="1:9">
      <c r="A236" s="265"/>
      <c r="B236" s="266"/>
      <c r="C236" s="267" t="s">
        <v>533</v>
      </c>
      <c r="D236" s="267" t="s">
        <v>502</v>
      </c>
      <c r="E236" s="268">
        <v>0</v>
      </c>
      <c r="F236" s="269">
        <v>6000</v>
      </c>
      <c r="G236" s="270">
        <v>0</v>
      </c>
      <c r="H236" s="922" t="s">
        <v>557</v>
      </c>
      <c r="I236" s="272">
        <f t="shared" si="30"/>
        <v>0</v>
      </c>
    </row>
    <row r="237" spans="1:9">
      <c r="A237" s="265"/>
      <c r="B237" s="266"/>
      <c r="C237" s="267" t="s">
        <v>534</v>
      </c>
      <c r="D237" s="267" t="s">
        <v>535</v>
      </c>
      <c r="E237" s="268">
        <v>0</v>
      </c>
      <c r="F237" s="269">
        <v>2390.6</v>
      </c>
      <c r="G237" s="270">
        <v>2391</v>
      </c>
      <c r="H237" s="922" t="s">
        <v>557</v>
      </c>
      <c r="I237" s="272">
        <f t="shared" si="30"/>
        <v>100.01673220112106</v>
      </c>
    </row>
    <row r="238" spans="1:9">
      <c r="A238" s="265"/>
      <c r="B238" s="266"/>
      <c r="C238" s="267" t="s">
        <v>536</v>
      </c>
      <c r="D238" s="267" t="s">
        <v>537</v>
      </c>
      <c r="E238" s="268">
        <v>0</v>
      </c>
      <c r="F238" s="269">
        <v>218.5</v>
      </c>
      <c r="G238" s="270">
        <v>218</v>
      </c>
      <c r="H238" s="922" t="s">
        <v>557</v>
      </c>
      <c r="I238" s="272">
        <f t="shared" si="30"/>
        <v>99.77116704805492</v>
      </c>
    </row>
    <row r="239" spans="1:9">
      <c r="A239" s="325"/>
      <c r="B239" s="357"/>
      <c r="C239" s="357"/>
      <c r="D239" s="418"/>
      <c r="E239" s="328"/>
      <c r="F239" s="329"/>
      <c r="G239" s="328"/>
      <c r="H239" s="263"/>
      <c r="I239" s="264"/>
    </row>
    <row r="240" spans="1:9" ht="15.75" thickBot="1">
      <c r="A240" s="265"/>
      <c r="B240" s="266"/>
      <c r="C240" s="267"/>
      <c r="D240" s="267"/>
      <c r="E240" s="268"/>
      <c r="F240" s="324"/>
      <c r="G240" s="270"/>
      <c r="H240" s="271"/>
      <c r="I240" s="272"/>
    </row>
    <row r="241" spans="1:9" ht="16.5" thickBot="1">
      <c r="A241" s="676" t="s">
        <v>411</v>
      </c>
      <c r="B241" s="677"/>
      <c r="C241" s="677"/>
      <c r="D241" s="744"/>
      <c r="E241" s="302">
        <f>E173+E181+E195+E239+E177</f>
        <v>158602</v>
      </c>
      <c r="F241" s="303">
        <f>F173+F181+F195+F239+F177</f>
        <v>334759.40000000002</v>
      </c>
      <c r="G241" s="302">
        <f>G173+G181+G195+G177+G239</f>
        <v>194974</v>
      </c>
      <c r="H241" s="745">
        <f>G241/E241*100</f>
        <v>122.93287600408568</v>
      </c>
      <c r="I241" s="746">
        <f>G241/F241*100</f>
        <v>58.243024691763686</v>
      </c>
    </row>
    <row r="242" spans="1:9" ht="15.75" thickBot="1">
      <c r="A242" s="747"/>
      <c r="B242" s="101"/>
      <c r="C242" s="101"/>
      <c r="D242" s="101"/>
      <c r="E242" s="101"/>
      <c r="F242" s="748"/>
      <c r="G242" s="749"/>
      <c r="H242" s="750"/>
      <c r="I242" s="751"/>
    </row>
    <row r="243" spans="1:9" ht="17.25" customHeight="1" thickBot="1">
      <c r="A243" s="676" t="s">
        <v>414</v>
      </c>
      <c r="B243" s="677"/>
      <c r="C243" s="677"/>
      <c r="D243" s="744"/>
      <c r="E243" s="302">
        <f>E170+E241</f>
        <v>339332</v>
      </c>
      <c r="F243" s="303">
        <f>F170+F241</f>
        <v>635372.29999999993</v>
      </c>
      <c r="G243" s="302">
        <f>G170+G241</f>
        <v>477788</v>
      </c>
      <c r="H243" s="745">
        <f>G243/E243*100</f>
        <v>140.80251788808599</v>
      </c>
      <c r="I243" s="746">
        <f>G243/F243*100</f>
        <v>75.198116128134657</v>
      </c>
    </row>
    <row r="253" spans="1:9" ht="21.95" customHeight="1"/>
    <row r="254" spans="1:9" ht="21.95" customHeight="1"/>
    <row r="255" spans="1:9" ht="21.95" customHeight="1"/>
    <row r="256" spans="1:9" ht="21.95" customHeight="1"/>
    <row r="257" ht="21.95" customHeight="1"/>
    <row r="258" ht="21.95" customHeight="1"/>
    <row r="259" ht="21.95" customHeight="1"/>
    <row r="260" ht="21.95" customHeight="1"/>
    <row r="261" ht="21.95" customHeight="1"/>
    <row r="262" ht="21.95" customHeight="1"/>
    <row r="263" ht="21.95" customHeight="1"/>
    <row r="264" ht="21.95" customHeight="1"/>
    <row r="265" ht="21.95" customHeight="1"/>
    <row r="266" ht="21.95" customHeight="1"/>
    <row r="267" ht="21.95" customHeight="1"/>
    <row r="268" ht="21.95" customHeight="1"/>
    <row r="269" ht="21.95" customHeight="1"/>
    <row r="270" ht="21.95" customHeight="1"/>
    <row r="271" ht="21.95" customHeight="1"/>
    <row r="272" ht="21.95" customHeight="1"/>
    <row r="273" ht="21.95" customHeight="1"/>
    <row r="274" ht="21.95" customHeight="1"/>
    <row r="275" ht="21.95" customHeight="1"/>
    <row r="276" ht="21.95" customHeight="1"/>
    <row r="277" ht="21.95" customHeight="1"/>
    <row r="278" ht="21.95" customHeight="1"/>
    <row r="279" ht="21.95" customHeight="1"/>
    <row r="280" ht="27" customHeight="1"/>
    <row r="281" ht="15" customHeight="1"/>
    <row r="282" ht="15" customHeight="1"/>
    <row r="283" ht="15" customHeight="1"/>
  </sheetData>
  <mergeCells count="11">
    <mergeCell ref="B74:D74"/>
    <mergeCell ref="B171:D171"/>
    <mergeCell ref="B173:C173"/>
    <mergeCell ref="B168:C168"/>
    <mergeCell ref="H149:H150"/>
    <mergeCell ref="I149:I150"/>
    <mergeCell ref="B165:C165"/>
    <mergeCell ref="B155:C155"/>
    <mergeCell ref="F149:F150"/>
    <mergeCell ref="E149:E150"/>
    <mergeCell ref="G149:G150"/>
  </mergeCells>
  <phoneticPr fontId="39" type="noConversion"/>
  <printOptions horizontalCentered="1"/>
  <pageMargins left="0.43307086614173229" right="0" top="0.11811023622047245" bottom="0" header="0" footer="0"/>
  <pageSetup paperSize="9" scale="75" fitToHeight="0" orientation="landscape" r:id="rId1"/>
  <rowBreaks count="2" manualBreakCount="2">
    <brk id="50" max="16383" man="1"/>
    <brk id="10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7C0D5-9C35-414F-BAB8-4578261C6746}">
  <dimension ref="A2:N63"/>
  <sheetViews>
    <sheetView topLeftCell="A4" zoomScaleNormal="100" workbookViewId="0">
      <selection activeCell="I37" sqref="I37"/>
    </sheetView>
  </sheetViews>
  <sheetFormatPr defaultRowHeight="15"/>
  <cols>
    <col min="1" max="2" width="11.28515625" style="17" customWidth="1"/>
    <col min="3" max="3" width="52.28515625" style="17" customWidth="1"/>
    <col min="4" max="4" width="37.7109375" style="17" customWidth="1"/>
    <col min="5" max="5" width="16.42578125" style="17" customWidth="1"/>
    <col min="6" max="6" width="16.42578125" style="54" customWidth="1"/>
    <col min="7" max="7" width="16.42578125" style="55" customWidth="1"/>
    <col min="8" max="9" width="10.7109375" style="56" customWidth="1"/>
    <col min="10" max="13" width="9.140625" style="17"/>
    <col min="14" max="14" width="18.28515625" style="17" customWidth="1"/>
    <col min="15" max="16384" width="9.140625" style="17"/>
  </cols>
  <sheetData>
    <row r="2" spans="1:14" ht="18">
      <c r="A2" s="360" t="s">
        <v>110</v>
      </c>
      <c r="C2" s="361"/>
      <c r="D2" s="360"/>
    </row>
    <row r="3" spans="1:14" ht="15.75" thickBot="1">
      <c r="F3" s="106"/>
      <c r="I3" s="107" t="s">
        <v>514</v>
      </c>
    </row>
    <row r="4" spans="1:14" ht="15" customHeight="1">
      <c r="A4" s="362" t="s">
        <v>1</v>
      </c>
      <c r="B4" s="91" t="s">
        <v>2</v>
      </c>
      <c r="C4" s="92" t="s">
        <v>3</v>
      </c>
      <c r="D4" s="91"/>
      <c r="E4" s="64" t="s">
        <v>4</v>
      </c>
      <c r="F4" s="94" t="s">
        <v>320</v>
      </c>
      <c r="G4" s="363" t="s">
        <v>314</v>
      </c>
      <c r="H4" s="109" t="s">
        <v>316</v>
      </c>
      <c r="I4" s="110" t="s">
        <v>316</v>
      </c>
    </row>
    <row r="5" spans="1:14" ht="15" customHeight="1">
      <c r="A5" s="364" t="s">
        <v>5</v>
      </c>
      <c r="B5" s="96" t="s">
        <v>6</v>
      </c>
      <c r="C5" s="97" t="s">
        <v>7</v>
      </c>
      <c r="D5" s="98" t="s">
        <v>8</v>
      </c>
      <c r="E5" s="71" t="s">
        <v>319</v>
      </c>
      <c r="F5" s="99" t="s">
        <v>321</v>
      </c>
      <c r="G5" s="365" t="s">
        <v>315</v>
      </c>
      <c r="H5" s="112" t="s">
        <v>317</v>
      </c>
      <c r="I5" s="113" t="s">
        <v>318</v>
      </c>
    </row>
    <row r="6" spans="1:14" ht="15" customHeight="1" thickBot="1">
      <c r="A6" s="366" t="s">
        <v>9</v>
      </c>
      <c r="B6" s="25" t="s">
        <v>10</v>
      </c>
      <c r="C6" s="26"/>
      <c r="D6" s="158"/>
      <c r="E6" s="78" t="s">
        <v>291</v>
      </c>
      <c r="F6" s="99" t="str">
        <f>Kap.01!F14</f>
        <v>k 31.12.2019</v>
      </c>
      <c r="G6" s="166">
        <f>Kap.01!G14</f>
        <v>43830</v>
      </c>
      <c r="H6" s="112" t="s">
        <v>236</v>
      </c>
      <c r="I6" s="113" t="s">
        <v>236</v>
      </c>
    </row>
    <row r="7" spans="1:14" ht="15.75">
      <c r="A7" s="367" t="s">
        <v>11</v>
      </c>
      <c r="B7" s="368"/>
      <c r="C7" s="84"/>
      <c r="D7" s="369"/>
      <c r="E7" s="370"/>
      <c r="F7" s="119"/>
      <c r="G7" s="120"/>
      <c r="H7" s="121"/>
      <c r="I7" s="122"/>
    </row>
    <row r="8" spans="1:14">
      <c r="A8" s="228" t="s">
        <v>220</v>
      </c>
      <c r="B8" s="982" t="s">
        <v>221</v>
      </c>
      <c r="C8" s="983"/>
      <c r="D8" s="371"/>
      <c r="E8" s="231">
        <f>E9+E10</f>
        <v>100</v>
      </c>
      <c r="F8" s="232">
        <f>F9+F10+F11</f>
        <v>1592.3</v>
      </c>
      <c r="G8" s="231">
        <f>G9+G10+G11</f>
        <v>235</v>
      </c>
      <c r="H8" s="219">
        <f>G8/E8*100</f>
        <v>235</v>
      </c>
      <c r="I8" s="220">
        <f>G8/F8*100</f>
        <v>14.758525403504366</v>
      </c>
    </row>
    <row r="9" spans="1:14">
      <c r="A9" s="372"/>
      <c r="B9" s="373"/>
      <c r="C9" s="374" t="s">
        <v>329</v>
      </c>
      <c r="D9" s="375" t="s">
        <v>111</v>
      </c>
      <c r="E9" s="376">
        <v>100</v>
      </c>
      <c r="F9" s="235">
        <v>270</v>
      </c>
      <c r="G9" s="236">
        <v>218</v>
      </c>
      <c r="H9" s="237">
        <f t="shared" ref="H9" si="0">G9/E9*100</f>
        <v>218.00000000000003</v>
      </c>
      <c r="I9" s="238">
        <f t="shared" ref="I9:I10" si="1">G9/F9*100</f>
        <v>80.740740740740748</v>
      </c>
      <c r="N9" s="56"/>
    </row>
    <row r="10" spans="1:14">
      <c r="A10" s="377"/>
      <c r="B10" s="378"/>
      <c r="C10" s="379" t="s">
        <v>330</v>
      </c>
      <c r="D10" s="214" t="s">
        <v>328</v>
      </c>
      <c r="E10" s="380">
        <v>0</v>
      </c>
      <c r="F10" s="235">
        <v>1322.3</v>
      </c>
      <c r="G10" s="236">
        <v>17</v>
      </c>
      <c r="H10" s="917" t="s">
        <v>557</v>
      </c>
      <c r="I10" s="238">
        <f t="shared" si="1"/>
        <v>1.2856386599107614</v>
      </c>
      <c r="N10" s="56"/>
    </row>
    <row r="11" spans="1:14">
      <c r="A11" s="377"/>
      <c r="B11" s="378"/>
      <c r="C11" s="379"/>
      <c r="D11" s="214"/>
      <c r="E11" s="380"/>
      <c r="F11" s="381"/>
      <c r="G11" s="236"/>
      <c r="H11" s="237"/>
      <c r="I11" s="238"/>
      <c r="N11" s="56"/>
    </row>
    <row r="12" spans="1:14">
      <c r="A12" s="228" t="s">
        <v>303</v>
      </c>
      <c r="B12" s="982" t="s">
        <v>304</v>
      </c>
      <c r="C12" s="983"/>
      <c r="D12" s="382"/>
      <c r="E12" s="383">
        <f>E13+E14+E15+E16+E17+E19+E20+E21+E22</f>
        <v>96970</v>
      </c>
      <c r="F12" s="384">
        <f>F13+F14+F15+F16+F17+F19+F20+F21+F22</f>
        <v>116583.3</v>
      </c>
      <c r="G12" s="383">
        <f>SUM(G13:G22)</f>
        <v>116087</v>
      </c>
      <c r="H12" s="219">
        <f>G12/E12*100</f>
        <v>119.71434464267298</v>
      </c>
      <c r="I12" s="220">
        <f>G12/F12*100</f>
        <v>99.574295803944466</v>
      </c>
      <c r="N12" s="56"/>
    </row>
    <row r="13" spans="1:14">
      <c r="A13" s="228"/>
      <c r="B13" s="385">
        <v>504</v>
      </c>
      <c r="C13" s="376" t="s">
        <v>273</v>
      </c>
      <c r="D13" s="382" t="s">
        <v>112</v>
      </c>
      <c r="E13" s="380">
        <v>250</v>
      </c>
      <c r="F13" s="235">
        <v>450</v>
      </c>
      <c r="G13" s="236">
        <v>251</v>
      </c>
      <c r="H13" s="237">
        <f t="shared" ref="H13:H23" si="2">G13/E13*100</f>
        <v>100.4</v>
      </c>
      <c r="I13" s="238">
        <f t="shared" ref="I13:I23" si="3">G13/F13*100</f>
        <v>55.777777777777779</v>
      </c>
      <c r="N13" s="56"/>
    </row>
    <row r="14" spans="1:14">
      <c r="A14" s="386"/>
      <c r="B14" s="385" t="s">
        <v>275</v>
      </c>
      <c r="C14" s="376" t="s">
        <v>274</v>
      </c>
      <c r="D14" s="387" t="s">
        <v>112</v>
      </c>
      <c r="E14" s="380">
        <v>150</v>
      </c>
      <c r="F14" s="235">
        <v>150</v>
      </c>
      <c r="G14" s="236">
        <v>64</v>
      </c>
      <c r="H14" s="237">
        <f t="shared" si="2"/>
        <v>42.666666666666671</v>
      </c>
      <c r="I14" s="238">
        <f t="shared" si="3"/>
        <v>42.666666666666671</v>
      </c>
      <c r="N14" s="56"/>
    </row>
    <row r="15" spans="1:14">
      <c r="A15" s="386"/>
      <c r="B15" s="385"/>
      <c r="C15" s="376" t="s">
        <v>113</v>
      </c>
      <c r="D15" s="376" t="s">
        <v>114</v>
      </c>
      <c r="E15" s="388">
        <v>330</v>
      </c>
      <c r="F15" s="235">
        <v>430</v>
      </c>
      <c r="G15" s="236">
        <v>225</v>
      </c>
      <c r="H15" s="237">
        <f t="shared" si="2"/>
        <v>68.181818181818173</v>
      </c>
      <c r="I15" s="238">
        <f t="shared" si="3"/>
        <v>52.325581395348841</v>
      </c>
      <c r="N15" s="56"/>
    </row>
    <row r="16" spans="1:14">
      <c r="A16" s="386"/>
      <c r="B16" s="385"/>
      <c r="C16" s="389" t="s">
        <v>289</v>
      </c>
      <c r="D16" s="380" t="s">
        <v>120</v>
      </c>
      <c r="E16" s="388">
        <v>8</v>
      </c>
      <c r="F16" s="235">
        <v>8</v>
      </c>
      <c r="G16" s="236">
        <v>7</v>
      </c>
      <c r="H16" s="237">
        <f t="shared" si="2"/>
        <v>87.5</v>
      </c>
      <c r="I16" s="238">
        <f t="shared" si="3"/>
        <v>87.5</v>
      </c>
      <c r="N16" s="56"/>
    </row>
    <row r="17" spans="1:14">
      <c r="A17" s="390"/>
      <c r="B17" s="391"/>
      <c r="C17" s="392" t="s">
        <v>123</v>
      </c>
      <c r="D17" s="990" t="s">
        <v>122</v>
      </c>
      <c r="E17" s="984">
        <v>22751</v>
      </c>
      <c r="F17" s="986">
        <v>26057</v>
      </c>
      <c r="G17" s="984">
        <v>26057</v>
      </c>
      <c r="H17" s="988">
        <f t="shared" si="2"/>
        <v>114.53122939651004</v>
      </c>
      <c r="I17" s="980">
        <f t="shared" si="3"/>
        <v>100</v>
      </c>
      <c r="N17" s="56"/>
    </row>
    <row r="18" spans="1:14">
      <c r="A18" s="393"/>
      <c r="B18" s="394">
        <v>501</v>
      </c>
      <c r="C18" s="395" t="s">
        <v>124</v>
      </c>
      <c r="D18" s="991"/>
      <c r="E18" s="985"/>
      <c r="F18" s="987"/>
      <c r="G18" s="985"/>
      <c r="H18" s="989"/>
      <c r="I18" s="981"/>
      <c r="N18" s="56"/>
    </row>
    <row r="19" spans="1:14" ht="26.25">
      <c r="A19" s="386"/>
      <c r="B19" s="396" t="s">
        <v>125</v>
      </c>
      <c r="C19" s="397" t="s">
        <v>293</v>
      </c>
      <c r="D19" s="398" t="s">
        <v>276</v>
      </c>
      <c r="E19" s="399">
        <v>73000</v>
      </c>
      <c r="F19" s="400">
        <v>87193</v>
      </c>
      <c r="G19" s="401">
        <v>87193</v>
      </c>
      <c r="H19" s="237">
        <f>G19/E19*100</f>
        <v>119.44246575342466</v>
      </c>
      <c r="I19" s="238">
        <f t="shared" si="3"/>
        <v>100</v>
      </c>
      <c r="N19" s="56"/>
    </row>
    <row r="20" spans="1:14">
      <c r="A20" s="386"/>
      <c r="B20" s="402"/>
      <c r="C20" s="403" t="s">
        <v>323</v>
      </c>
      <c r="D20" s="403" t="s">
        <v>276</v>
      </c>
      <c r="E20" s="388">
        <v>1</v>
      </c>
      <c r="F20" s="235">
        <v>1501</v>
      </c>
      <c r="G20" s="236">
        <v>1500</v>
      </c>
      <c r="H20" s="237">
        <f t="shared" si="2"/>
        <v>150000</v>
      </c>
      <c r="I20" s="238">
        <f t="shared" si="3"/>
        <v>99.933377748167885</v>
      </c>
      <c r="N20" s="56"/>
    </row>
    <row r="21" spans="1:14">
      <c r="A21" s="386"/>
      <c r="B21" s="402"/>
      <c r="C21" s="404" t="s">
        <v>324</v>
      </c>
      <c r="D21" s="395" t="s">
        <v>126</v>
      </c>
      <c r="E21" s="388">
        <v>480</v>
      </c>
      <c r="F21" s="235">
        <v>310</v>
      </c>
      <c r="G21" s="236">
        <v>306</v>
      </c>
      <c r="H21" s="248">
        <f t="shared" ref="H21" si="4">G21/E21*100</f>
        <v>63.749999999999993</v>
      </c>
      <c r="I21" s="249">
        <f t="shared" ref="I21:I22" si="5">G21/F21*100</f>
        <v>98.709677419354833</v>
      </c>
      <c r="N21" s="56"/>
    </row>
    <row r="22" spans="1:14" ht="15.75" thickBot="1">
      <c r="A22" s="386"/>
      <c r="B22" s="402"/>
      <c r="C22" s="404" t="s">
        <v>479</v>
      </c>
      <c r="D22" s="382" t="s">
        <v>112</v>
      </c>
      <c r="E22" s="388">
        <v>0</v>
      </c>
      <c r="F22" s="235">
        <v>484.3</v>
      </c>
      <c r="G22" s="236">
        <v>484</v>
      </c>
      <c r="H22" s="925" t="s">
        <v>557</v>
      </c>
      <c r="I22" s="406">
        <f t="shared" si="5"/>
        <v>99.938054924633491</v>
      </c>
      <c r="N22" s="56"/>
    </row>
    <row r="23" spans="1:14" s="102" customFormat="1" ht="16.5" thickBot="1">
      <c r="A23" s="977" t="s">
        <v>16</v>
      </c>
      <c r="B23" s="978"/>
      <c r="C23" s="979"/>
      <c r="D23" s="407"/>
      <c r="E23" s="408">
        <f>E8+E12</f>
        <v>97070</v>
      </c>
      <c r="F23" s="409">
        <f t="shared" ref="F23:G23" si="6">F8+F12</f>
        <v>118175.6</v>
      </c>
      <c r="G23" s="408">
        <f t="shared" si="6"/>
        <v>116322</v>
      </c>
      <c r="H23" s="410">
        <f t="shared" si="2"/>
        <v>119.83311012671267</v>
      </c>
      <c r="I23" s="411">
        <f t="shared" si="3"/>
        <v>98.431486702838825</v>
      </c>
      <c r="N23" s="412"/>
    </row>
    <row r="24" spans="1:14" s="102" customFormat="1" ht="15.75">
      <c r="A24" s="413"/>
      <c r="B24" s="413"/>
      <c r="C24" s="413"/>
      <c r="D24" s="413"/>
      <c r="E24" s="414"/>
      <c r="F24" s="415"/>
      <c r="G24" s="414"/>
      <c r="H24" s="416"/>
      <c r="I24" s="417"/>
      <c r="N24" s="412"/>
    </row>
    <row r="25" spans="1:14" ht="15.75" thickBot="1">
      <c r="L25" s="17" t="s">
        <v>523</v>
      </c>
    </row>
    <row r="26" spans="1:14">
      <c r="A26" s="60" t="s">
        <v>1</v>
      </c>
      <c r="B26" s="62" t="s">
        <v>2</v>
      </c>
      <c r="C26" s="61" t="s">
        <v>3</v>
      </c>
      <c r="D26" s="63"/>
      <c r="E26" s="64" t="s">
        <v>4</v>
      </c>
      <c r="F26" s="64" t="s">
        <v>320</v>
      </c>
      <c r="G26" s="141" t="s">
        <v>314</v>
      </c>
      <c r="H26" s="64" t="s">
        <v>316</v>
      </c>
      <c r="I26" s="164" t="s">
        <v>316</v>
      </c>
    </row>
    <row r="27" spans="1:14">
      <c r="A27" s="67" t="s">
        <v>5</v>
      </c>
      <c r="B27" s="69" t="s">
        <v>6</v>
      </c>
      <c r="C27" s="68" t="s">
        <v>7</v>
      </c>
      <c r="D27" s="70" t="s">
        <v>8</v>
      </c>
      <c r="E27" s="71" t="s">
        <v>319</v>
      </c>
      <c r="F27" s="71" t="s">
        <v>321</v>
      </c>
      <c r="G27" s="144" t="s">
        <v>315</v>
      </c>
      <c r="H27" s="71" t="s">
        <v>317</v>
      </c>
      <c r="I27" s="139" t="s">
        <v>318</v>
      </c>
    </row>
    <row r="28" spans="1:14" ht="15.75" thickBot="1">
      <c r="A28" s="165" t="s">
        <v>9</v>
      </c>
      <c r="B28" s="76" t="s">
        <v>10</v>
      </c>
      <c r="C28" s="75"/>
      <c r="D28" s="77"/>
      <c r="E28" s="71" t="s">
        <v>291</v>
      </c>
      <c r="F28" s="71" t="str">
        <f>Kap.01!F14</f>
        <v>k 31.12.2019</v>
      </c>
      <c r="G28" s="114">
        <f>Kap.01!G14</f>
        <v>43830</v>
      </c>
      <c r="H28" s="166" t="s">
        <v>236</v>
      </c>
      <c r="I28" s="139" t="s">
        <v>236</v>
      </c>
    </row>
    <row r="29" spans="1:14" ht="16.5" customHeight="1">
      <c r="A29" s="167" t="s">
        <v>334</v>
      </c>
      <c r="B29" s="168"/>
      <c r="C29" s="168"/>
      <c r="D29" s="168"/>
      <c r="E29" s="86"/>
      <c r="F29" s="86"/>
      <c r="G29" s="169"/>
      <c r="H29" s="86"/>
      <c r="I29" s="170"/>
    </row>
    <row r="30" spans="1:14">
      <c r="A30" s="325" t="s">
        <v>439</v>
      </c>
      <c r="B30" s="357" t="s">
        <v>225</v>
      </c>
      <c r="C30" s="357"/>
      <c r="D30" s="418"/>
      <c r="E30" s="328">
        <f>SUM(E31:E34)</f>
        <v>0</v>
      </c>
      <c r="F30" s="329">
        <f>SUM(F31)</f>
        <v>18334.599999999999</v>
      </c>
      <c r="G30" s="328">
        <f>SUM(G31)</f>
        <v>17662</v>
      </c>
      <c r="H30" s="926" t="s">
        <v>557</v>
      </c>
      <c r="I30" s="420">
        <f>G30/F30*100</f>
        <v>96.331526185463559</v>
      </c>
    </row>
    <row r="31" spans="1:14" ht="15.75">
      <c r="A31" s="421"/>
      <c r="B31" s="422"/>
      <c r="C31" s="423" t="s">
        <v>440</v>
      </c>
      <c r="D31" s="424" t="s">
        <v>441</v>
      </c>
      <c r="E31" s="425">
        <v>0</v>
      </c>
      <c r="F31" s="426">
        <v>18334.599999999999</v>
      </c>
      <c r="G31" s="427">
        <v>17662</v>
      </c>
      <c r="H31" s="927" t="s">
        <v>557</v>
      </c>
      <c r="I31" s="429">
        <f t="shared" ref="I31" si="7">G31/F31*100</f>
        <v>96.331526185463559</v>
      </c>
    </row>
    <row r="32" spans="1:14" ht="15.75">
      <c r="A32" s="915"/>
      <c r="B32" s="912"/>
      <c r="C32" s="423"/>
      <c r="D32" s="913"/>
      <c r="E32" s="753"/>
      <c r="F32" s="426"/>
      <c r="G32" s="427"/>
      <c r="H32" s="428"/>
      <c r="I32" s="429"/>
    </row>
    <row r="33" spans="1:9">
      <c r="A33" s="228" t="s">
        <v>303</v>
      </c>
      <c r="B33" s="982" t="s">
        <v>304</v>
      </c>
      <c r="C33" s="983"/>
      <c r="D33" s="913"/>
      <c r="E33" s="231">
        <f>E34</f>
        <v>0</v>
      </c>
      <c r="F33" s="232">
        <f t="shared" ref="F33:I33" si="8">F34</f>
        <v>170</v>
      </c>
      <c r="G33" s="231">
        <f t="shared" si="8"/>
        <v>170</v>
      </c>
      <c r="H33" s="239" t="s">
        <v>557</v>
      </c>
      <c r="I33" s="928">
        <f t="shared" si="8"/>
        <v>100</v>
      </c>
    </row>
    <row r="34" spans="1:9" ht="16.5" thickBot="1">
      <c r="A34" s="430"/>
      <c r="B34" s="431"/>
      <c r="C34" s="432" t="s">
        <v>538</v>
      </c>
      <c r="D34" s="433" t="s">
        <v>126</v>
      </c>
      <c r="E34" s="434">
        <v>0</v>
      </c>
      <c r="F34" s="426">
        <v>170</v>
      </c>
      <c r="G34" s="427">
        <v>170</v>
      </c>
      <c r="H34" s="927" t="s">
        <v>557</v>
      </c>
      <c r="I34" s="429">
        <f t="shared" ref="I34" si="9">G34/F34*100</f>
        <v>100</v>
      </c>
    </row>
    <row r="35" spans="1:9" s="102" customFormat="1" ht="16.5" thickBot="1">
      <c r="A35" s="975" t="s">
        <v>411</v>
      </c>
      <c r="B35" s="976"/>
      <c r="C35" s="976"/>
      <c r="D35" s="914"/>
      <c r="E35" s="436">
        <f>E30</f>
        <v>0</v>
      </c>
      <c r="F35" s="437">
        <f>F30+F33</f>
        <v>18504.599999999999</v>
      </c>
      <c r="G35" s="436">
        <f>G30+G33</f>
        <v>17832</v>
      </c>
      <c r="H35" s="929" t="s">
        <v>557</v>
      </c>
      <c r="I35" s="439">
        <f t="shared" ref="I35" si="10">G35/F35*100</f>
        <v>96.365228105444061</v>
      </c>
    </row>
    <row r="36" spans="1:9" ht="15.75" thickBot="1">
      <c r="F36" s="17"/>
      <c r="G36" s="17"/>
      <c r="H36" s="17"/>
      <c r="I36" s="17"/>
    </row>
    <row r="37" spans="1:9" s="102" customFormat="1" ht="18" customHeight="1" thickBot="1">
      <c r="A37" s="977" t="s">
        <v>421</v>
      </c>
      <c r="B37" s="978"/>
      <c r="C37" s="979"/>
      <c r="D37" s="407"/>
      <c r="E37" s="408">
        <f>E23+E35</f>
        <v>97070</v>
      </c>
      <c r="F37" s="409">
        <f>F23+F35</f>
        <v>136680.20000000001</v>
      </c>
      <c r="G37" s="408">
        <f>G23+G35</f>
        <v>134154</v>
      </c>
      <c r="H37" s="410">
        <f t="shared" ref="H37" si="11">G37/E37*100</f>
        <v>138.20335840115382</v>
      </c>
      <c r="I37" s="411">
        <f t="shared" ref="I37" si="12">G37/F37*100</f>
        <v>98.151743998033353</v>
      </c>
    </row>
    <row r="58" spans="6:9" ht="15" customHeight="1">
      <c r="F58" s="17"/>
      <c r="G58" s="17"/>
      <c r="H58" s="17"/>
      <c r="I58" s="17"/>
    </row>
    <row r="59" spans="6:9" ht="15" customHeight="1">
      <c r="F59" s="17"/>
      <c r="G59" s="17"/>
      <c r="H59" s="17"/>
      <c r="I59" s="17"/>
    </row>
    <row r="61" spans="6:9" ht="15" customHeight="1">
      <c r="F61" s="17"/>
      <c r="G61" s="17"/>
      <c r="H61" s="17"/>
      <c r="I61" s="17"/>
    </row>
    <row r="62" spans="6:9" ht="15" customHeight="1">
      <c r="F62" s="17"/>
      <c r="G62" s="17"/>
      <c r="H62" s="17"/>
      <c r="I62" s="17"/>
    </row>
    <row r="63" spans="6:9" ht="15" customHeight="1">
      <c r="F63" s="17"/>
      <c r="G63" s="17"/>
      <c r="H63" s="17"/>
      <c r="I63" s="17"/>
    </row>
  </sheetData>
  <mergeCells count="12">
    <mergeCell ref="A35:C35"/>
    <mergeCell ref="A37:C37"/>
    <mergeCell ref="I17:I18"/>
    <mergeCell ref="B8:C8"/>
    <mergeCell ref="B12:C12"/>
    <mergeCell ref="A23:C23"/>
    <mergeCell ref="E17:E18"/>
    <mergeCell ref="F17:F18"/>
    <mergeCell ref="G17:G18"/>
    <mergeCell ref="H17:H18"/>
    <mergeCell ref="D17:D18"/>
    <mergeCell ref="B33:C33"/>
  </mergeCells>
  <printOptions horizontalCentered="1"/>
  <pageMargins left="0.43307086614173229" right="0" top="0.11811023622047245" bottom="0" header="0" footer="0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J42"/>
  <sheetViews>
    <sheetView topLeftCell="A13" zoomScaleNormal="100" workbookViewId="0">
      <selection activeCell="L16" sqref="L16"/>
    </sheetView>
  </sheetViews>
  <sheetFormatPr defaultRowHeight="15"/>
  <cols>
    <col min="1" max="2" width="11.28515625" style="17" customWidth="1"/>
    <col min="3" max="3" width="52.28515625" style="17" customWidth="1"/>
    <col min="4" max="4" width="40.7109375" style="17" customWidth="1"/>
    <col min="5" max="5" width="14.85546875" style="17" customWidth="1"/>
    <col min="6" max="6" width="16.42578125" style="17" customWidth="1"/>
    <col min="7" max="7" width="15.28515625" style="17" customWidth="1"/>
    <col min="8" max="9" width="10.7109375" style="17" customWidth="1"/>
    <col min="10" max="16384" width="9.140625" style="17"/>
  </cols>
  <sheetData>
    <row r="2" spans="1:10" ht="18">
      <c r="A2" s="440" t="s">
        <v>127</v>
      </c>
      <c r="B2" s="441"/>
      <c r="C2" s="442"/>
      <c r="D2" s="441"/>
    </row>
    <row r="3" spans="1:10" ht="16.5" thickBot="1">
      <c r="A3" s="441"/>
      <c r="B3" s="440"/>
      <c r="C3" s="440"/>
      <c r="D3" s="441"/>
      <c r="F3" s="59"/>
      <c r="I3" s="59" t="s">
        <v>513</v>
      </c>
    </row>
    <row r="4" spans="1:10">
      <c r="A4" s="60" t="s">
        <v>1</v>
      </c>
      <c r="B4" s="62" t="s">
        <v>2</v>
      </c>
      <c r="C4" s="61" t="s">
        <v>3</v>
      </c>
      <c r="D4" s="63"/>
      <c r="E4" s="64" t="s">
        <v>4</v>
      </c>
      <c r="F4" s="64" t="s">
        <v>320</v>
      </c>
      <c r="G4" s="141" t="s">
        <v>314</v>
      </c>
      <c r="H4" s="64" t="s">
        <v>316</v>
      </c>
      <c r="I4" s="164" t="s">
        <v>316</v>
      </c>
      <c r="J4" s="443"/>
    </row>
    <row r="5" spans="1:10">
      <c r="A5" s="67" t="s">
        <v>5</v>
      </c>
      <c r="B5" s="69" t="s">
        <v>6</v>
      </c>
      <c r="C5" s="68" t="s">
        <v>7</v>
      </c>
      <c r="D5" s="70" t="s">
        <v>8</v>
      </c>
      <c r="E5" s="71" t="s">
        <v>319</v>
      </c>
      <c r="F5" s="71" t="s">
        <v>321</v>
      </c>
      <c r="G5" s="144" t="s">
        <v>315</v>
      </c>
      <c r="H5" s="71" t="s">
        <v>317</v>
      </c>
      <c r="I5" s="139" t="s">
        <v>318</v>
      </c>
    </row>
    <row r="6" spans="1:10" ht="15.75" thickBot="1">
      <c r="A6" s="165" t="s">
        <v>9</v>
      </c>
      <c r="B6" s="76" t="s">
        <v>10</v>
      </c>
      <c r="C6" s="75"/>
      <c r="D6" s="77"/>
      <c r="E6" s="71" t="s">
        <v>291</v>
      </c>
      <c r="F6" s="71" t="str">
        <f>Kap.01!F14</f>
        <v>k 31.12.2019</v>
      </c>
      <c r="G6" s="114">
        <f>Kap.01!G14</f>
        <v>43830</v>
      </c>
      <c r="H6" s="166" t="s">
        <v>236</v>
      </c>
      <c r="I6" s="139" t="s">
        <v>236</v>
      </c>
    </row>
    <row r="7" spans="1:10" ht="15.75">
      <c r="A7" s="167" t="s">
        <v>11</v>
      </c>
      <c r="B7" s="168"/>
      <c r="C7" s="168"/>
      <c r="D7" s="168"/>
      <c r="E7" s="86"/>
      <c r="F7" s="86"/>
      <c r="G7" s="169"/>
      <c r="H7" s="86"/>
      <c r="I7" s="170"/>
    </row>
    <row r="8" spans="1:10">
      <c r="A8" s="309" t="s">
        <v>128</v>
      </c>
      <c r="B8" s="444" t="s">
        <v>263</v>
      </c>
      <c r="C8" s="444"/>
      <c r="D8" s="445"/>
      <c r="E8" s="335">
        <f>SUM(E9:E21)</f>
        <v>20470</v>
      </c>
      <c r="F8" s="336">
        <f t="shared" ref="F8" si="0">SUM(F9:F21)</f>
        <v>21438.400000000001</v>
      </c>
      <c r="G8" s="335">
        <f>G9+G10+G11+G12+G13+G14+G15+G16+G17+G18+G19+G20+G21</f>
        <v>21397</v>
      </c>
      <c r="H8" s="446">
        <f>G8/E8*100</f>
        <v>104.52857840742551</v>
      </c>
      <c r="I8" s="447">
        <f>G8/F8*100</f>
        <v>99.80688857377416</v>
      </c>
    </row>
    <row r="9" spans="1:10">
      <c r="A9" s="309"/>
      <c r="B9" s="448">
        <v>611</v>
      </c>
      <c r="C9" s="449" t="s">
        <v>129</v>
      </c>
      <c r="D9" s="287" t="s">
        <v>130</v>
      </c>
      <c r="E9" s="341">
        <v>1000</v>
      </c>
      <c r="F9" s="235">
        <v>1450</v>
      </c>
      <c r="G9" s="236">
        <v>1440</v>
      </c>
      <c r="H9" s="450">
        <f t="shared" ref="H9:H30" si="1">G9/E9*100</f>
        <v>144</v>
      </c>
      <c r="I9" s="451">
        <f t="shared" ref="I9:I30" si="2">G9/F9*100</f>
        <v>99.310344827586206</v>
      </c>
    </row>
    <row r="10" spans="1:10">
      <c r="A10" s="309"/>
      <c r="B10" s="291" t="s">
        <v>131</v>
      </c>
      <c r="C10" s="449" t="s">
        <v>260</v>
      </c>
      <c r="D10" s="452" t="s">
        <v>132</v>
      </c>
      <c r="E10" s="341">
        <v>1000</v>
      </c>
      <c r="F10" s="235">
        <v>1150</v>
      </c>
      <c r="G10" s="236">
        <v>1141</v>
      </c>
      <c r="H10" s="450">
        <f t="shared" ref="H10:H21" si="3">G10/E10*100</f>
        <v>114.1</v>
      </c>
      <c r="I10" s="451">
        <f t="shared" ref="I10:I23" si="4">G10/F10*100</f>
        <v>99.217391304347828</v>
      </c>
    </row>
    <row r="11" spans="1:10">
      <c r="A11" s="289"/>
      <c r="B11" s="291" t="s">
        <v>133</v>
      </c>
      <c r="C11" s="449" t="s">
        <v>134</v>
      </c>
      <c r="D11" s="452" t="s">
        <v>135</v>
      </c>
      <c r="E11" s="341">
        <v>2900</v>
      </c>
      <c r="F11" s="235">
        <v>3425</v>
      </c>
      <c r="G11" s="236">
        <v>3424</v>
      </c>
      <c r="H11" s="450">
        <f t="shared" si="3"/>
        <v>118.06896551724138</v>
      </c>
      <c r="I11" s="451">
        <f t="shared" si="4"/>
        <v>99.970802919708021</v>
      </c>
    </row>
    <row r="12" spans="1:10" ht="15" customHeight="1">
      <c r="A12" s="289"/>
      <c r="B12" s="291" t="s">
        <v>136</v>
      </c>
      <c r="C12" s="287" t="s">
        <v>137</v>
      </c>
      <c r="D12" s="449" t="s">
        <v>138</v>
      </c>
      <c r="E12" s="341">
        <v>100</v>
      </c>
      <c r="F12" s="235">
        <v>380</v>
      </c>
      <c r="G12" s="236">
        <v>379</v>
      </c>
      <c r="H12" s="450">
        <f t="shared" si="3"/>
        <v>379</v>
      </c>
      <c r="I12" s="451">
        <f t="shared" si="4"/>
        <v>99.73684210526315</v>
      </c>
    </row>
    <row r="13" spans="1:10">
      <c r="A13" s="289"/>
      <c r="B13" s="291"/>
      <c r="C13" s="287" t="s">
        <v>139</v>
      </c>
      <c r="D13" s="287" t="s">
        <v>140</v>
      </c>
      <c r="E13" s="341">
        <v>20</v>
      </c>
      <c r="F13" s="235">
        <v>130.1</v>
      </c>
      <c r="G13" s="236">
        <v>130</v>
      </c>
      <c r="H13" s="450">
        <f t="shared" si="3"/>
        <v>650</v>
      </c>
      <c r="I13" s="451">
        <f t="shared" si="4"/>
        <v>99.923136049192934</v>
      </c>
    </row>
    <row r="14" spans="1:10">
      <c r="A14" s="289"/>
      <c r="B14" s="291"/>
      <c r="C14" s="449" t="s">
        <v>141</v>
      </c>
      <c r="D14" s="287" t="s">
        <v>142</v>
      </c>
      <c r="E14" s="341">
        <v>150</v>
      </c>
      <c r="F14" s="235">
        <v>144</v>
      </c>
      <c r="G14" s="236">
        <v>144</v>
      </c>
      <c r="H14" s="450">
        <f t="shared" si="3"/>
        <v>96</v>
      </c>
      <c r="I14" s="451">
        <f t="shared" si="4"/>
        <v>100</v>
      </c>
    </row>
    <row r="15" spans="1:10">
      <c r="A15" s="289"/>
      <c r="B15" s="291" t="s">
        <v>143</v>
      </c>
      <c r="C15" s="287" t="s">
        <v>313</v>
      </c>
      <c r="D15" s="287" t="s">
        <v>142</v>
      </c>
      <c r="E15" s="341">
        <v>300</v>
      </c>
      <c r="F15" s="235">
        <v>232.4</v>
      </c>
      <c r="G15" s="236">
        <v>232</v>
      </c>
      <c r="H15" s="450">
        <f t="shared" si="3"/>
        <v>77.333333333333329</v>
      </c>
      <c r="I15" s="451">
        <f t="shared" si="4"/>
        <v>99.827882960413078</v>
      </c>
    </row>
    <row r="16" spans="1:10">
      <c r="A16" s="309"/>
      <c r="B16" s="444"/>
      <c r="C16" s="449" t="s">
        <v>144</v>
      </c>
      <c r="D16" s="449" t="s">
        <v>145</v>
      </c>
      <c r="E16" s="341">
        <v>100</v>
      </c>
      <c r="F16" s="235">
        <v>159.9</v>
      </c>
      <c r="G16" s="236">
        <v>160</v>
      </c>
      <c r="H16" s="450">
        <f t="shared" si="3"/>
        <v>160</v>
      </c>
      <c r="I16" s="451">
        <f t="shared" si="4"/>
        <v>100.06253908692932</v>
      </c>
    </row>
    <row r="17" spans="1:9">
      <c r="A17" s="289"/>
      <c r="B17" s="342"/>
      <c r="C17" s="449" t="s">
        <v>294</v>
      </c>
      <c r="D17" s="449" t="s">
        <v>146</v>
      </c>
      <c r="E17" s="341">
        <v>2000</v>
      </c>
      <c r="F17" s="235">
        <v>3127.6</v>
      </c>
      <c r="G17" s="236">
        <v>3110</v>
      </c>
      <c r="H17" s="450">
        <f t="shared" si="3"/>
        <v>155.5</v>
      </c>
      <c r="I17" s="451">
        <f t="shared" si="4"/>
        <v>99.437268192863542</v>
      </c>
    </row>
    <row r="18" spans="1:9">
      <c r="A18" s="289"/>
      <c r="B18" s="291" t="s">
        <v>250</v>
      </c>
      <c r="C18" s="449" t="s">
        <v>249</v>
      </c>
      <c r="D18" s="449" t="s">
        <v>146</v>
      </c>
      <c r="E18" s="341">
        <v>300</v>
      </c>
      <c r="F18" s="235">
        <v>421.7</v>
      </c>
      <c r="G18" s="236">
        <v>420</v>
      </c>
      <c r="H18" s="450">
        <f t="shared" si="3"/>
        <v>140</v>
      </c>
      <c r="I18" s="451">
        <f t="shared" si="4"/>
        <v>99.59686981266303</v>
      </c>
    </row>
    <row r="19" spans="1:9">
      <c r="A19" s="453"/>
      <c r="B19" s="291" t="s">
        <v>239</v>
      </c>
      <c r="C19" s="449" t="s">
        <v>248</v>
      </c>
      <c r="D19" s="449" t="s">
        <v>138</v>
      </c>
      <c r="E19" s="341">
        <v>5000</v>
      </c>
      <c r="F19" s="235">
        <v>5600</v>
      </c>
      <c r="G19" s="236">
        <v>5600</v>
      </c>
      <c r="H19" s="450">
        <f t="shared" si="3"/>
        <v>112.00000000000001</v>
      </c>
      <c r="I19" s="451">
        <f t="shared" si="4"/>
        <v>100</v>
      </c>
    </row>
    <row r="20" spans="1:9" ht="27.75" customHeight="1">
      <c r="A20" s="453"/>
      <c r="B20" s="291"/>
      <c r="C20" s="449" t="s">
        <v>283</v>
      </c>
      <c r="D20" s="454" t="s">
        <v>434</v>
      </c>
      <c r="E20" s="341">
        <v>100</v>
      </c>
      <c r="F20" s="235">
        <v>193.8</v>
      </c>
      <c r="G20" s="234">
        <v>194</v>
      </c>
      <c r="H20" s="450">
        <f t="shared" si="3"/>
        <v>194</v>
      </c>
      <c r="I20" s="451">
        <f t="shared" si="4"/>
        <v>100.1031991744066</v>
      </c>
    </row>
    <row r="21" spans="1:9">
      <c r="A21" s="289"/>
      <c r="B21" s="291" t="s">
        <v>331</v>
      </c>
      <c r="C21" s="449" t="s">
        <v>307</v>
      </c>
      <c r="D21" s="287" t="s">
        <v>142</v>
      </c>
      <c r="E21" s="341">
        <v>7500</v>
      </c>
      <c r="F21" s="235">
        <v>5023.8999999999996</v>
      </c>
      <c r="G21" s="234">
        <v>5023</v>
      </c>
      <c r="H21" s="450">
        <f t="shared" si="3"/>
        <v>66.973333333333329</v>
      </c>
      <c r="I21" s="451">
        <f t="shared" si="4"/>
        <v>99.982085630685333</v>
      </c>
    </row>
    <row r="22" spans="1:9">
      <c r="A22" s="309"/>
      <c r="B22" s="291"/>
      <c r="C22" s="449"/>
      <c r="D22" s="287"/>
      <c r="E22" s="341"/>
      <c r="F22" s="455"/>
      <c r="G22" s="234"/>
      <c r="H22" s="456"/>
      <c r="I22" s="451"/>
    </row>
    <row r="23" spans="1:9">
      <c r="A23" s="309" t="s">
        <v>449</v>
      </c>
      <c r="B23" s="444" t="s">
        <v>450</v>
      </c>
      <c r="C23" s="449"/>
      <c r="D23" s="287"/>
      <c r="E23" s="231">
        <v>0</v>
      </c>
      <c r="F23" s="457">
        <f>SUM(F24)</f>
        <v>59.9</v>
      </c>
      <c r="G23" s="216">
        <f>G24</f>
        <v>60</v>
      </c>
      <c r="H23" s="930" t="s">
        <v>557</v>
      </c>
      <c r="I23" s="447">
        <f t="shared" si="4"/>
        <v>100.1669449081803</v>
      </c>
    </row>
    <row r="24" spans="1:9">
      <c r="A24" s="289"/>
      <c r="B24" s="291"/>
      <c r="C24" s="449" t="s">
        <v>451</v>
      </c>
      <c r="D24" s="287" t="s">
        <v>140</v>
      </c>
      <c r="E24" s="341">
        <v>0</v>
      </c>
      <c r="F24" s="455">
        <v>59.9</v>
      </c>
      <c r="G24" s="234">
        <v>60</v>
      </c>
      <c r="H24" s="931" t="s">
        <v>557</v>
      </c>
      <c r="I24" s="451">
        <f t="shared" ref="I24" si="5">G24/F24*100</f>
        <v>100.1669449081803</v>
      </c>
    </row>
    <row r="25" spans="1:9">
      <c r="A25" s="289"/>
      <c r="B25" s="342"/>
      <c r="C25" s="449"/>
      <c r="D25" s="287"/>
      <c r="E25" s="341"/>
      <c r="F25" s="455"/>
      <c r="G25" s="234"/>
      <c r="H25" s="456"/>
      <c r="I25" s="451"/>
    </row>
    <row r="26" spans="1:9">
      <c r="A26" s="309" t="s">
        <v>147</v>
      </c>
      <c r="B26" s="444" t="s">
        <v>218</v>
      </c>
      <c r="C26" s="310"/>
      <c r="D26" s="310"/>
      <c r="E26" s="231">
        <f>SUM(E27:E30)</f>
        <v>1415</v>
      </c>
      <c r="F26" s="232">
        <f t="shared" ref="F26:G26" si="6">SUM(F27:F30)</f>
        <v>1270</v>
      </c>
      <c r="G26" s="231">
        <f t="shared" si="6"/>
        <v>958</v>
      </c>
      <c r="H26" s="446">
        <f t="shared" si="1"/>
        <v>67.703180212014132</v>
      </c>
      <c r="I26" s="447">
        <f t="shared" si="2"/>
        <v>75.433070866141733</v>
      </c>
    </row>
    <row r="27" spans="1:9" s="458" customFormat="1" ht="12.75" customHeight="1">
      <c r="A27" s="996"/>
      <c r="B27" s="1000"/>
      <c r="C27" s="992" t="s">
        <v>258</v>
      </c>
      <c r="D27" s="994" t="s">
        <v>149</v>
      </c>
      <c r="E27" s="998">
        <v>415</v>
      </c>
      <c r="F27" s="1006">
        <v>230</v>
      </c>
      <c r="G27" s="998">
        <v>89</v>
      </c>
      <c r="H27" s="1002">
        <f t="shared" si="1"/>
        <v>21.445783132530121</v>
      </c>
      <c r="I27" s="1004">
        <f t="shared" si="2"/>
        <v>38.695652173913039</v>
      </c>
    </row>
    <row r="28" spans="1:9" s="458" customFormat="1" ht="12.75" customHeight="1">
      <c r="A28" s="997"/>
      <c r="B28" s="1001"/>
      <c r="C28" s="993"/>
      <c r="D28" s="995"/>
      <c r="E28" s="999"/>
      <c r="F28" s="1007"/>
      <c r="G28" s="999"/>
      <c r="H28" s="1003"/>
      <c r="I28" s="1005"/>
    </row>
    <row r="29" spans="1:9">
      <c r="A29" s="289"/>
      <c r="B29" s="291" t="s">
        <v>150</v>
      </c>
      <c r="C29" s="449" t="s">
        <v>259</v>
      </c>
      <c r="D29" s="449" t="s">
        <v>149</v>
      </c>
      <c r="E29" s="341">
        <v>900</v>
      </c>
      <c r="F29" s="455">
        <f>60+880</f>
        <v>940</v>
      </c>
      <c r="G29" s="234">
        <f>6+834</f>
        <v>840</v>
      </c>
      <c r="H29" s="450">
        <f t="shared" si="1"/>
        <v>93.333333333333329</v>
      </c>
      <c r="I29" s="451">
        <f t="shared" si="2"/>
        <v>89.361702127659569</v>
      </c>
    </row>
    <row r="30" spans="1:9" ht="15.75" thickBot="1">
      <c r="A30" s="337"/>
      <c r="B30" s="292"/>
      <c r="C30" s="230" t="s">
        <v>151</v>
      </c>
      <c r="D30" s="293" t="s">
        <v>142</v>
      </c>
      <c r="E30" s="344">
        <v>100</v>
      </c>
      <c r="F30" s="459">
        <v>100</v>
      </c>
      <c r="G30" s="460">
        <v>29</v>
      </c>
      <c r="H30" s="450">
        <f t="shared" si="1"/>
        <v>28.999999999999996</v>
      </c>
      <c r="I30" s="451">
        <f t="shared" si="2"/>
        <v>28.999999999999996</v>
      </c>
    </row>
    <row r="31" spans="1:9" s="102" customFormat="1" ht="16.5" thickBot="1">
      <c r="A31" s="975" t="s">
        <v>16</v>
      </c>
      <c r="B31" s="976"/>
      <c r="C31" s="976"/>
      <c r="D31" s="435"/>
      <c r="E31" s="436">
        <f>E8+E26</f>
        <v>21885</v>
      </c>
      <c r="F31" s="437">
        <f>F8+F23+F26</f>
        <v>22768.300000000003</v>
      </c>
      <c r="G31" s="436">
        <f>G8+G26+G23</f>
        <v>22415</v>
      </c>
      <c r="H31" s="438">
        <f t="shared" ref="H31" si="7">G31/E31*100</f>
        <v>102.42175005711675</v>
      </c>
      <c r="I31" s="439">
        <f t="shared" ref="I31" si="8">G31/F31*100</f>
        <v>98.448281162844822</v>
      </c>
    </row>
    <row r="32" spans="1:9">
      <c r="A32" s="461"/>
      <c r="B32" s="461"/>
      <c r="C32" s="461"/>
      <c r="D32" s="461"/>
    </row>
    <row r="33" spans="1:9" ht="15.75" thickBot="1"/>
    <row r="34" spans="1:9">
      <c r="A34" s="60" t="s">
        <v>1</v>
      </c>
      <c r="B34" s="62" t="s">
        <v>2</v>
      </c>
      <c r="C34" s="61" t="s">
        <v>3</v>
      </c>
      <c r="D34" s="63"/>
      <c r="E34" s="64" t="s">
        <v>4</v>
      </c>
      <c r="F34" s="64" t="s">
        <v>320</v>
      </c>
      <c r="G34" s="141" t="s">
        <v>314</v>
      </c>
      <c r="H34" s="64" t="s">
        <v>316</v>
      </c>
      <c r="I34" s="164" t="s">
        <v>316</v>
      </c>
    </row>
    <row r="35" spans="1:9">
      <c r="A35" s="67" t="s">
        <v>5</v>
      </c>
      <c r="B35" s="69" t="s">
        <v>6</v>
      </c>
      <c r="C35" s="68" t="s">
        <v>7</v>
      </c>
      <c r="D35" s="70" t="s">
        <v>8</v>
      </c>
      <c r="E35" s="71" t="s">
        <v>319</v>
      </c>
      <c r="F35" s="71" t="s">
        <v>321</v>
      </c>
      <c r="G35" s="144" t="s">
        <v>315</v>
      </c>
      <c r="H35" s="71" t="s">
        <v>317</v>
      </c>
      <c r="I35" s="139" t="s">
        <v>318</v>
      </c>
    </row>
    <row r="36" spans="1:9" ht="15.75" thickBot="1">
      <c r="A36" s="165" t="s">
        <v>9</v>
      </c>
      <c r="B36" s="76" t="s">
        <v>10</v>
      </c>
      <c r="C36" s="75"/>
      <c r="D36" s="77"/>
      <c r="E36" s="71" t="s">
        <v>291</v>
      </c>
      <c r="F36" s="71" t="str">
        <f>Kap.01!F14</f>
        <v>k 31.12.2019</v>
      </c>
      <c r="G36" s="114">
        <f>Kap.01!G14</f>
        <v>43830</v>
      </c>
      <c r="H36" s="166" t="s">
        <v>236</v>
      </c>
      <c r="I36" s="139" t="s">
        <v>236</v>
      </c>
    </row>
    <row r="37" spans="1:9" ht="16.5" customHeight="1">
      <c r="A37" s="167" t="s">
        <v>334</v>
      </c>
      <c r="B37" s="168"/>
      <c r="C37" s="168"/>
      <c r="D37" s="168"/>
      <c r="E37" s="86"/>
      <c r="F37" s="86"/>
      <c r="G37" s="169"/>
      <c r="H37" s="86"/>
      <c r="I37" s="170"/>
    </row>
    <row r="38" spans="1:9">
      <c r="A38" s="325" t="s">
        <v>449</v>
      </c>
      <c r="B38" s="960" t="s">
        <v>450</v>
      </c>
      <c r="C38" s="961"/>
      <c r="D38" s="418"/>
      <c r="E38" s="328">
        <f>SUM(E39)</f>
        <v>1430</v>
      </c>
      <c r="F38" s="329">
        <f t="shared" ref="F38:G38" si="9">SUM(F39)</f>
        <v>738.1</v>
      </c>
      <c r="G38" s="328">
        <f t="shared" si="9"/>
        <v>738</v>
      </c>
      <c r="H38" s="419">
        <f>G38/E38*100</f>
        <v>51.608391608391614</v>
      </c>
      <c r="I38" s="420">
        <f>G38/F38*100</f>
        <v>99.986451700311605</v>
      </c>
    </row>
    <row r="39" spans="1:9" s="123" customFormat="1" ht="15" customHeight="1" thickBot="1">
      <c r="A39" s="325"/>
      <c r="B39" s="462"/>
      <c r="C39" s="267" t="s">
        <v>400</v>
      </c>
      <c r="D39" s="577" t="s">
        <v>140</v>
      </c>
      <c r="E39" s="268">
        <v>1430</v>
      </c>
      <c r="F39" s="269">
        <v>738.1</v>
      </c>
      <c r="G39" s="319">
        <v>738</v>
      </c>
      <c r="H39" s="464">
        <f>G39/E39*100</f>
        <v>51.608391608391614</v>
      </c>
      <c r="I39" s="465">
        <f>G39/F39*100</f>
        <v>99.986451700311605</v>
      </c>
    </row>
    <row r="40" spans="1:9" s="102" customFormat="1" ht="16.5" thickBot="1">
      <c r="A40" s="975" t="s">
        <v>411</v>
      </c>
      <c r="B40" s="976"/>
      <c r="C40" s="976"/>
      <c r="D40" s="435"/>
      <c r="E40" s="436">
        <f>E38</f>
        <v>1430</v>
      </c>
      <c r="F40" s="437">
        <f>F38</f>
        <v>738.1</v>
      </c>
      <c r="G40" s="436">
        <f>G38</f>
        <v>738</v>
      </c>
      <c r="H40" s="438">
        <f t="shared" ref="H40" si="10">G40/E40*100</f>
        <v>51.608391608391614</v>
      </c>
      <c r="I40" s="439">
        <f t="shared" ref="I40" si="11">G40/F40*100</f>
        <v>99.986451700311605</v>
      </c>
    </row>
    <row r="41" spans="1:9" ht="15.75" thickBot="1"/>
    <row r="42" spans="1:9" s="102" customFormat="1" ht="16.5" thickBot="1">
      <c r="A42" s="975" t="s">
        <v>415</v>
      </c>
      <c r="B42" s="976"/>
      <c r="C42" s="976"/>
      <c r="D42" s="435"/>
      <c r="E42" s="436">
        <f>E31+E40</f>
        <v>23315</v>
      </c>
      <c r="F42" s="437">
        <f>F31+F40</f>
        <v>23506.400000000001</v>
      </c>
      <c r="G42" s="436">
        <f>G31+G40</f>
        <v>23153</v>
      </c>
      <c r="H42" s="438">
        <f t="shared" ref="H42" si="12">G42/E42*100</f>
        <v>99.30516834655802</v>
      </c>
      <c r="I42" s="439">
        <f t="shared" ref="I42" si="13">G42/F42*100</f>
        <v>98.49657965490249</v>
      </c>
    </row>
  </sheetData>
  <mergeCells count="13">
    <mergeCell ref="E27:E28"/>
    <mergeCell ref="B27:B28"/>
    <mergeCell ref="G27:G28"/>
    <mergeCell ref="H27:H28"/>
    <mergeCell ref="I27:I28"/>
    <mergeCell ref="F27:F28"/>
    <mergeCell ref="A40:C40"/>
    <mergeCell ref="A42:C42"/>
    <mergeCell ref="A31:C31"/>
    <mergeCell ref="C27:C28"/>
    <mergeCell ref="D27:D28"/>
    <mergeCell ref="A27:A28"/>
    <mergeCell ref="B38:C38"/>
  </mergeCells>
  <printOptions horizontalCentered="1"/>
  <pageMargins left="0.43307086614173229" right="0" top="0.11811023622047245" bottom="0" header="0" footer="0"/>
  <pageSetup paperSize="9" scale="76" fitToHeight="0" orientation="landscape" r:id="rId1"/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79684-4637-44B1-B345-34ABC113D253}">
  <sheetPr>
    <pageSetUpPr fitToPage="1"/>
  </sheetPr>
  <dimension ref="A2:I40"/>
  <sheetViews>
    <sheetView zoomScaleNormal="100" workbookViewId="0">
      <selection activeCell="M8" sqref="M8"/>
    </sheetView>
  </sheetViews>
  <sheetFormatPr defaultRowHeight="15"/>
  <cols>
    <col min="1" max="2" width="11.28515625" style="519" customWidth="1"/>
    <col min="3" max="3" width="52.28515625" style="519" customWidth="1"/>
    <col min="4" max="4" width="37.7109375" style="519" customWidth="1"/>
    <col min="5" max="7" width="16.42578125" style="519" customWidth="1"/>
    <col min="8" max="9" width="10.7109375" style="519" customWidth="1"/>
    <col min="10" max="16384" width="9.140625" style="519"/>
  </cols>
  <sheetData>
    <row r="2" spans="1:9" ht="15.75">
      <c r="A2" s="57" t="s">
        <v>152</v>
      </c>
      <c r="B2" s="518"/>
      <c r="C2" s="518"/>
    </row>
    <row r="3" spans="1:9" ht="15.75" thickBot="1">
      <c r="E3" s="466"/>
      <c r="G3" s="520"/>
      <c r="H3" s="520"/>
      <c r="I3" s="520" t="s">
        <v>512</v>
      </c>
    </row>
    <row r="4" spans="1:9">
      <c r="A4" s="60" t="s">
        <v>1</v>
      </c>
      <c r="B4" s="61" t="s">
        <v>2</v>
      </c>
      <c r="C4" s="62" t="s">
        <v>3</v>
      </c>
      <c r="D4" s="63"/>
      <c r="E4" s="64" t="s">
        <v>332</v>
      </c>
      <c r="F4" s="64" t="s">
        <v>320</v>
      </c>
      <c r="G4" s="65" t="s">
        <v>314</v>
      </c>
      <c r="H4" s="65" t="s">
        <v>333</v>
      </c>
      <c r="I4" s="66" t="s">
        <v>333</v>
      </c>
    </row>
    <row r="5" spans="1:9">
      <c r="A5" s="67" t="s">
        <v>5</v>
      </c>
      <c r="B5" s="68" t="s">
        <v>6</v>
      </c>
      <c r="C5" s="69" t="s">
        <v>7</v>
      </c>
      <c r="D5" s="70" t="s">
        <v>8</v>
      </c>
      <c r="E5" s="71" t="s">
        <v>319</v>
      </c>
      <c r="F5" s="71" t="s">
        <v>321</v>
      </c>
      <c r="G5" s="72" t="s">
        <v>315</v>
      </c>
      <c r="H5" s="72" t="s">
        <v>317</v>
      </c>
      <c r="I5" s="73" t="s">
        <v>318</v>
      </c>
    </row>
    <row r="6" spans="1:9" ht="15" customHeight="1" thickBot="1">
      <c r="A6" s="74" t="s">
        <v>9</v>
      </c>
      <c r="B6" s="75" t="s">
        <v>10</v>
      </c>
      <c r="C6" s="76"/>
      <c r="D6" s="77"/>
      <c r="E6" s="78" t="s">
        <v>291</v>
      </c>
      <c r="F6" s="78" t="str">
        <f>Kap.01!F14</f>
        <v>k 31.12.2019</v>
      </c>
      <c r="G6" s="79">
        <f>Kap.01!G14</f>
        <v>43830</v>
      </c>
      <c r="H6" s="80"/>
      <c r="I6" s="81"/>
    </row>
    <row r="7" spans="1:9" ht="15.75">
      <c r="A7" s="159" t="s">
        <v>11</v>
      </c>
      <c r="B7" s="160"/>
      <c r="C7" s="83"/>
      <c r="D7" s="161"/>
      <c r="E7" s="521"/>
      <c r="F7" s="163"/>
      <c r="G7" s="522"/>
      <c r="H7" s="521"/>
      <c r="I7" s="523"/>
    </row>
    <row r="8" spans="1:9" ht="15" customHeight="1">
      <c r="A8" s="467" t="s">
        <v>493</v>
      </c>
      <c r="B8" s="468" t="s">
        <v>494</v>
      </c>
      <c r="C8" s="469"/>
      <c r="D8" s="470"/>
      <c r="E8" s="471">
        <f>E9+E11+E17+E24</f>
        <v>351</v>
      </c>
      <c r="F8" s="472">
        <f t="shared" ref="F8:G8" si="0">F9+F11+F17+F24</f>
        <v>2700.3</v>
      </c>
      <c r="G8" s="471">
        <f t="shared" si="0"/>
        <v>937</v>
      </c>
      <c r="H8" s="473">
        <f t="shared" ref="H8:H26" si="1">G8/E8*100</f>
        <v>266.95156695156697</v>
      </c>
      <c r="I8" s="474">
        <f t="shared" ref="I8:I26" si="2">G8/F8*100</f>
        <v>34.6998481650187</v>
      </c>
    </row>
    <row r="9" spans="1:9" ht="15" customHeight="1">
      <c r="A9" s="475"/>
      <c r="B9" s="476">
        <v>700</v>
      </c>
      <c r="C9" s="477" t="s">
        <v>261</v>
      </c>
      <c r="D9" s="478" t="s">
        <v>153</v>
      </c>
      <c r="E9" s="477">
        <v>50</v>
      </c>
      <c r="F9" s="479">
        <v>50</v>
      </c>
      <c r="G9" s="288">
        <v>0</v>
      </c>
      <c r="H9" s="480">
        <f t="shared" si="1"/>
        <v>0</v>
      </c>
      <c r="I9" s="429">
        <f t="shared" si="2"/>
        <v>0</v>
      </c>
    </row>
    <row r="10" spans="1:9" ht="15" customHeight="1">
      <c r="A10" s="475"/>
      <c r="B10" s="481"/>
      <c r="C10" s="477"/>
      <c r="D10" s="470"/>
      <c r="E10" s="477"/>
      <c r="F10" s="479"/>
      <c r="G10" s="288"/>
      <c r="H10" s="473"/>
      <c r="I10" s="474"/>
    </row>
    <row r="11" spans="1:9" ht="15" customHeight="1">
      <c r="A11" s="482"/>
      <c r="B11" s="483"/>
      <c r="C11" s="484" t="s">
        <v>154</v>
      </c>
      <c r="D11" s="485" t="s">
        <v>153</v>
      </c>
      <c r="E11" s="471">
        <f>SUM(E12:E15)</f>
        <v>200</v>
      </c>
      <c r="F11" s="472">
        <f t="shared" ref="F11:G11" si="3">SUM(F12:F15)</f>
        <v>200</v>
      </c>
      <c r="G11" s="471">
        <f t="shared" si="3"/>
        <v>79</v>
      </c>
      <c r="H11" s="473">
        <f t="shared" si="1"/>
        <v>39.5</v>
      </c>
      <c r="I11" s="474">
        <f t="shared" si="2"/>
        <v>39.5</v>
      </c>
    </row>
    <row r="12" spans="1:9" ht="15" customHeight="1">
      <c r="A12" s="482"/>
      <c r="B12" s="483"/>
      <c r="C12" s="484"/>
      <c r="D12" s="477" t="s">
        <v>544</v>
      </c>
      <c r="E12" s="524">
        <v>0</v>
      </c>
      <c r="F12" s="479">
        <v>33</v>
      </c>
      <c r="G12" s="288">
        <v>32</v>
      </c>
      <c r="H12" s="932" t="s">
        <v>557</v>
      </c>
      <c r="I12" s="429">
        <f t="shared" ref="I12" si="4">G12/F12*100</f>
        <v>96.969696969696969</v>
      </c>
    </row>
    <row r="13" spans="1:9" ht="15" customHeight="1">
      <c r="A13" s="482"/>
      <c r="B13" s="483"/>
      <c r="C13" s="484"/>
      <c r="D13" s="477" t="s">
        <v>156</v>
      </c>
      <c r="E13" s="524">
        <v>80</v>
      </c>
      <c r="F13" s="479">
        <v>80</v>
      </c>
      <c r="G13" s="288">
        <v>14</v>
      </c>
      <c r="H13" s="480">
        <f t="shared" si="1"/>
        <v>17.5</v>
      </c>
      <c r="I13" s="429">
        <f t="shared" si="2"/>
        <v>17.5</v>
      </c>
    </row>
    <row r="14" spans="1:9" ht="15" customHeight="1">
      <c r="A14" s="482"/>
      <c r="B14" s="483"/>
      <c r="C14" s="484"/>
      <c r="D14" s="477" t="s">
        <v>105</v>
      </c>
      <c r="E14" s="524">
        <v>100</v>
      </c>
      <c r="F14" s="479">
        <v>67</v>
      </c>
      <c r="G14" s="288">
        <v>33</v>
      </c>
      <c r="H14" s="480">
        <f t="shared" si="1"/>
        <v>33</v>
      </c>
      <c r="I14" s="429">
        <f t="shared" si="2"/>
        <v>49.253731343283583</v>
      </c>
    </row>
    <row r="15" spans="1:9" ht="15" customHeight="1">
      <c r="A15" s="482"/>
      <c r="B15" s="483"/>
      <c r="C15" s="484"/>
      <c r="D15" s="477" t="s">
        <v>158</v>
      </c>
      <c r="E15" s="524">
        <v>20</v>
      </c>
      <c r="F15" s="479">
        <v>20</v>
      </c>
      <c r="G15" s="288">
        <v>0</v>
      </c>
      <c r="H15" s="480">
        <f t="shared" si="1"/>
        <v>0</v>
      </c>
      <c r="I15" s="429">
        <f t="shared" si="2"/>
        <v>0</v>
      </c>
    </row>
    <row r="16" spans="1:9" ht="15" customHeight="1">
      <c r="A16" s="482"/>
      <c r="B16" s="483"/>
      <c r="C16" s="484"/>
      <c r="D16" s="485"/>
      <c r="E16" s="477"/>
      <c r="F16" s="479"/>
      <c r="G16" s="288"/>
      <c r="H16" s="473"/>
      <c r="I16" s="474"/>
    </row>
    <row r="17" spans="1:9" ht="15" customHeight="1">
      <c r="A17" s="475"/>
      <c r="B17" s="486"/>
      <c r="C17" s="487"/>
      <c r="D17" s="488" t="s">
        <v>160</v>
      </c>
      <c r="E17" s="489">
        <f>SUM(E18:E22)</f>
        <v>101</v>
      </c>
      <c r="F17" s="490">
        <f>SUM(F18:F22)</f>
        <v>950.3</v>
      </c>
      <c r="G17" s="489">
        <f>SUM(G18:G22)</f>
        <v>858</v>
      </c>
      <c r="H17" s="473">
        <f t="shared" si="1"/>
        <v>849.50495049504957</v>
      </c>
      <c r="I17" s="474">
        <f t="shared" si="2"/>
        <v>90.287277701778393</v>
      </c>
    </row>
    <row r="18" spans="1:9" ht="15" customHeight="1">
      <c r="A18" s="491"/>
      <c r="B18" s="492"/>
      <c r="C18" s="525" t="s">
        <v>159</v>
      </c>
      <c r="D18" s="526" t="s">
        <v>194</v>
      </c>
      <c r="E18" s="477">
        <v>50</v>
      </c>
      <c r="F18" s="479">
        <v>50</v>
      </c>
      <c r="G18" s="288">
        <v>11</v>
      </c>
      <c r="H18" s="480">
        <f t="shared" si="1"/>
        <v>22</v>
      </c>
      <c r="I18" s="429">
        <f t="shared" si="2"/>
        <v>22</v>
      </c>
    </row>
    <row r="19" spans="1:9" ht="15" customHeight="1">
      <c r="A19" s="491"/>
      <c r="B19" s="492"/>
      <c r="C19" s="527" t="s">
        <v>480</v>
      </c>
      <c r="D19" s="526" t="s">
        <v>481</v>
      </c>
      <c r="E19" s="477">
        <v>0</v>
      </c>
      <c r="F19" s="479">
        <v>849.3</v>
      </c>
      <c r="G19" s="288">
        <v>837</v>
      </c>
      <c r="H19" s="932" t="s">
        <v>557</v>
      </c>
      <c r="I19" s="429">
        <f t="shared" si="2"/>
        <v>98.551748498763686</v>
      </c>
    </row>
    <row r="20" spans="1:9" ht="15" customHeight="1">
      <c r="A20" s="491"/>
      <c r="B20" s="492"/>
      <c r="C20" s="527" t="s">
        <v>312</v>
      </c>
      <c r="D20" s="477" t="s">
        <v>117</v>
      </c>
      <c r="E20" s="477">
        <v>1</v>
      </c>
      <c r="F20" s="479">
        <v>1</v>
      </c>
      <c r="G20" s="288">
        <v>0</v>
      </c>
      <c r="H20" s="932">
        <f t="shared" si="1"/>
        <v>0</v>
      </c>
      <c r="I20" s="429">
        <f t="shared" si="2"/>
        <v>0</v>
      </c>
    </row>
    <row r="21" spans="1:9" ht="15" customHeight="1">
      <c r="A21" s="491"/>
      <c r="B21" s="492"/>
      <c r="C21" s="527" t="s">
        <v>438</v>
      </c>
      <c r="D21" s="477" t="s">
        <v>482</v>
      </c>
      <c r="E21" s="492">
        <v>0</v>
      </c>
      <c r="F21" s="528">
        <v>10</v>
      </c>
      <c r="G21" s="529">
        <v>10</v>
      </c>
      <c r="H21" s="932" t="s">
        <v>557</v>
      </c>
      <c r="I21" s="429">
        <f t="shared" ref="I21" si="5">G21/F21*100</f>
        <v>100</v>
      </c>
    </row>
    <row r="22" spans="1:9" ht="15" customHeight="1">
      <c r="A22" s="491"/>
      <c r="B22" s="492"/>
      <c r="C22" s="530" t="s">
        <v>308</v>
      </c>
      <c r="D22" s="492" t="s">
        <v>105</v>
      </c>
      <c r="E22" s="492">
        <v>50</v>
      </c>
      <c r="F22" s="528">
        <v>40</v>
      </c>
      <c r="G22" s="529">
        <v>0</v>
      </c>
      <c r="H22" s="480">
        <f t="shared" si="1"/>
        <v>0</v>
      </c>
      <c r="I22" s="429">
        <f t="shared" si="2"/>
        <v>0</v>
      </c>
    </row>
    <row r="23" spans="1:9" ht="15" customHeight="1">
      <c r="A23" s="482"/>
      <c r="B23" s="483"/>
      <c r="C23" s="484"/>
      <c r="D23" s="485"/>
      <c r="E23" s="477"/>
      <c r="F23" s="479"/>
      <c r="G23" s="288"/>
      <c r="H23" s="473"/>
      <c r="I23" s="474"/>
    </row>
    <row r="24" spans="1:9" ht="15" customHeight="1">
      <c r="A24" s="475"/>
      <c r="B24" s="486"/>
      <c r="C24" s="487"/>
      <c r="D24" s="488" t="s">
        <v>545</v>
      </c>
      <c r="E24" s="489">
        <f>E25</f>
        <v>0</v>
      </c>
      <c r="F24" s="490">
        <f t="shared" ref="F24:G24" si="6">F25</f>
        <v>1500</v>
      </c>
      <c r="G24" s="489">
        <f t="shared" si="6"/>
        <v>0</v>
      </c>
      <c r="H24" s="933" t="s">
        <v>557</v>
      </c>
      <c r="I24" s="474">
        <f t="shared" ref="I24:I25" si="7">G24/F24*100</f>
        <v>0</v>
      </c>
    </row>
    <row r="25" spans="1:9" ht="15" customHeight="1" thickBot="1">
      <c r="A25" s="491"/>
      <c r="B25" s="492"/>
      <c r="C25" s="525" t="s">
        <v>547</v>
      </c>
      <c r="D25" s="526" t="s">
        <v>546</v>
      </c>
      <c r="E25" s="477">
        <v>0</v>
      </c>
      <c r="F25" s="479">
        <v>1500</v>
      </c>
      <c r="G25" s="288">
        <v>0</v>
      </c>
      <c r="H25" s="932" t="s">
        <v>557</v>
      </c>
      <c r="I25" s="429">
        <f t="shared" si="7"/>
        <v>0</v>
      </c>
    </row>
    <row r="26" spans="1:9" s="531" customFormat="1" ht="16.5" thickBot="1">
      <c r="A26" s="1008" t="s">
        <v>16</v>
      </c>
      <c r="B26" s="1009"/>
      <c r="C26" s="1010"/>
      <c r="D26" s="493"/>
      <c r="E26" s="408">
        <f>E8</f>
        <v>351</v>
      </c>
      <c r="F26" s="409">
        <f>F8</f>
        <v>2700.3</v>
      </c>
      <c r="G26" s="408">
        <f>G8</f>
        <v>937</v>
      </c>
      <c r="H26" s="494">
        <f t="shared" si="1"/>
        <v>266.95156695156697</v>
      </c>
      <c r="I26" s="495">
        <f t="shared" si="2"/>
        <v>34.6998481650187</v>
      </c>
    </row>
    <row r="27" spans="1:9" ht="14.1" customHeight="1" thickBot="1">
      <c r="A27" s="532"/>
      <c r="B27" s="532"/>
      <c r="C27" s="532"/>
      <c r="D27" s="532"/>
      <c r="E27" s="532"/>
      <c r="F27" s="533"/>
      <c r="G27" s="533"/>
    </row>
    <row r="28" spans="1:9" ht="12.95" customHeight="1">
      <c r="A28" s="90" t="s">
        <v>1</v>
      </c>
      <c r="B28" s="91" t="s">
        <v>2</v>
      </c>
      <c r="C28" s="92" t="s">
        <v>3</v>
      </c>
      <c r="D28" s="157"/>
      <c r="E28" s="64" t="s">
        <v>332</v>
      </c>
      <c r="F28" s="64" t="s">
        <v>320</v>
      </c>
      <c r="G28" s="65" t="s">
        <v>314</v>
      </c>
      <c r="H28" s="65" t="s">
        <v>333</v>
      </c>
      <c r="I28" s="66" t="s">
        <v>333</v>
      </c>
    </row>
    <row r="29" spans="1:9" ht="12.95" customHeight="1">
      <c r="A29" s="95" t="s">
        <v>5</v>
      </c>
      <c r="B29" s="96" t="s">
        <v>6</v>
      </c>
      <c r="C29" s="97" t="s">
        <v>7</v>
      </c>
      <c r="D29" s="98" t="s">
        <v>8</v>
      </c>
      <c r="E29" s="71" t="s">
        <v>319</v>
      </c>
      <c r="F29" s="71" t="s">
        <v>321</v>
      </c>
      <c r="G29" s="72" t="s">
        <v>315</v>
      </c>
      <c r="H29" s="72" t="s">
        <v>317</v>
      </c>
      <c r="I29" s="73" t="s">
        <v>318</v>
      </c>
    </row>
    <row r="30" spans="1:9" ht="12.95" customHeight="1" thickBot="1">
      <c r="A30" s="24" t="s">
        <v>9</v>
      </c>
      <c r="B30" s="25" t="s">
        <v>10</v>
      </c>
      <c r="C30" s="26"/>
      <c r="D30" s="158"/>
      <c r="E30" s="78" t="s">
        <v>291</v>
      </c>
      <c r="F30" s="78" t="str">
        <f>Kap.01!F14</f>
        <v>k 31.12.2019</v>
      </c>
      <c r="G30" s="79">
        <f>Kap.01!G14</f>
        <v>43830</v>
      </c>
      <c r="H30" s="80"/>
      <c r="I30" s="81"/>
    </row>
    <row r="31" spans="1:9" ht="16.5" customHeight="1">
      <c r="A31" s="159" t="s">
        <v>334</v>
      </c>
      <c r="B31" s="160"/>
      <c r="C31" s="83"/>
      <c r="D31" s="161"/>
      <c r="E31" s="521"/>
      <c r="F31" s="163"/>
      <c r="G31" s="522"/>
      <c r="H31" s="521"/>
      <c r="I31" s="523"/>
    </row>
    <row r="32" spans="1:9" ht="17.25" customHeight="1">
      <c r="A32" s="475" t="s">
        <v>401</v>
      </c>
      <c r="B32" s="944" t="s">
        <v>402</v>
      </c>
      <c r="C32" s="944"/>
      <c r="D32" s="496"/>
      <c r="E32" s="497">
        <f>SUM(E33)</f>
        <v>0</v>
      </c>
      <c r="F32" s="498">
        <f t="shared" ref="F32:G32" si="8">SUM(F33)</f>
        <v>1788.3</v>
      </c>
      <c r="G32" s="497">
        <f t="shared" si="8"/>
        <v>1788</v>
      </c>
      <c r="H32" s="934" t="s">
        <v>557</v>
      </c>
      <c r="I32" s="474">
        <f t="shared" ref="I32:I33" si="9">G32/F32*100</f>
        <v>99.983224291226307</v>
      </c>
    </row>
    <row r="33" spans="1:9" ht="13.5" customHeight="1">
      <c r="A33" s="475"/>
      <c r="B33" s="275"/>
      <c r="C33" s="267" t="s">
        <v>403</v>
      </c>
      <c r="D33" s="499" t="s">
        <v>160</v>
      </c>
      <c r="E33" s="268">
        <v>0</v>
      </c>
      <c r="F33" s="269">
        <v>1788.3</v>
      </c>
      <c r="G33" s="318">
        <v>1788</v>
      </c>
      <c r="H33" s="935" t="s">
        <v>557</v>
      </c>
      <c r="I33" s="474">
        <f t="shared" si="9"/>
        <v>99.983224291226307</v>
      </c>
    </row>
    <row r="34" spans="1:9" ht="13.5" customHeight="1">
      <c r="A34" s="501"/>
      <c r="B34" s="502"/>
      <c r="C34" s="503"/>
      <c r="D34" s="504"/>
      <c r="E34" s="505"/>
      <c r="F34" s="506"/>
      <c r="G34" s="507"/>
      <c r="H34" s="508"/>
      <c r="I34" s="509"/>
    </row>
    <row r="35" spans="1:9" ht="13.5" customHeight="1">
      <c r="A35" s="475" t="s">
        <v>493</v>
      </c>
      <c r="B35" s="944" t="s">
        <v>494</v>
      </c>
      <c r="C35" s="944"/>
      <c r="D35" s="496"/>
      <c r="E35" s="497">
        <f>SUM(E37)</f>
        <v>0</v>
      </c>
      <c r="F35" s="498">
        <f>SUM(F36+F37)</f>
        <v>1680.8</v>
      </c>
      <c r="G35" s="497">
        <f t="shared" ref="G35" si="10">SUM(G37)</f>
        <v>180</v>
      </c>
      <c r="H35" s="934" t="s">
        <v>557</v>
      </c>
      <c r="I35" s="210">
        <f t="shared" ref="I35" si="11">G35/F35*100</f>
        <v>10.709186101856259</v>
      </c>
    </row>
    <row r="36" spans="1:9" ht="13.5" customHeight="1">
      <c r="A36" s="475"/>
      <c r="B36" s="275"/>
      <c r="C36" s="267" t="s">
        <v>495</v>
      </c>
      <c r="D36" s="499" t="s">
        <v>160</v>
      </c>
      <c r="E36" s="268">
        <v>0</v>
      </c>
      <c r="F36" s="269">
        <v>1500</v>
      </c>
      <c r="G36" s="318">
        <v>0</v>
      </c>
      <c r="H36" s="935" t="s">
        <v>557</v>
      </c>
      <c r="I36" s="510">
        <v>0</v>
      </c>
    </row>
    <row r="37" spans="1:9" ht="13.5" customHeight="1" thickBot="1">
      <c r="A37" s="482"/>
      <c r="B37" s="511"/>
      <c r="C37" s="512" t="s">
        <v>496</v>
      </c>
      <c r="D37" s="513" t="s">
        <v>160</v>
      </c>
      <c r="E37" s="514">
        <v>0</v>
      </c>
      <c r="F37" s="515">
        <v>180.8</v>
      </c>
      <c r="G37" s="516">
        <v>180</v>
      </c>
      <c r="H37" s="918" t="s">
        <v>557</v>
      </c>
      <c r="I37" s="517">
        <f t="shared" ref="I37" si="12">G37/F37*100</f>
        <v>99.55752212389379</v>
      </c>
    </row>
    <row r="38" spans="1:9" s="531" customFormat="1" ht="16.5" thickBot="1">
      <c r="A38" s="1008" t="s">
        <v>411</v>
      </c>
      <c r="B38" s="1009"/>
      <c r="C38" s="1010"/>
      <c r="D38" s="493"/>
      <c r="E38" s="408">
        <f>E32+E35</f>
        <v>0</v>
      </c>
      <c r="F38" s="409">
        <f t="shared" ref="F38:G38" si="13">F32+F35</f>
        <v>3469.1</v>
      </c>
      <c r="G38" s="408">
        <f t="shared" si="13"/>
        <v>1968</v>
      </c>
      <c r="H38" s="936" t="s">
        <v>557</v>
      </c>
      <c r="I38" s="495">
        <f t="shared" ref="I38" si="14">G38/F38*100</f>
        <v>56.729411086448934</v>
      </c>
    </row>
    <row r="39" spans="1:9" ht="15.75" thickBot="1"/>
    <row r="40" spans="1:9" s="531" customFormat="1" ht="16.5" thickBot="1">
      <c r="A40" s="1008" t="s">
        <v>416</v>
      </c>
      <c r="B40" s="1009"/>
      <c r="C40" s="1010"/>
      <c r="D40" s="493"/>
      <c r="E40" s="408">
        <f>E26+E38</f>
        <v>351</v>
      </c>
      <c r="F40" s="409">
        <f>F26+F38</f>
        <v>6169.4</v>
      </c>
      <c r="G40" s="408">
        <f>G26+G38</f>
        <v>2905</v>
      </c>
      <c r="H40" s="438">
        <f t="shared" ref="H40" si="15">G40/E40*100</f>
        <v>827.63532763532771</v>
      </c>
      <c r="I40" s="495">
        <f t="shared" ref="I40" si="16">G40/F40*100</f>
        <v>47.087237008461116</v>
      </c>
    </row>
  </sheetData>
  <mergeCells count="5">
    <mergeCell ref="A26:C26"/>
    <mergeCell ref="B32:C32"/>
    <mergeCell ref="A38:C38"/>
    <mergeCell ref="A40:C40"/>
    <mergeCell ref="B35:C35"/>
  </mergeCells>
  <printOptions horizontalCentered="1"/>
  <pageMargins left="0.43307086614173229" right="0" top="0.11811023622047245" bottom="0" header="0" footer="0"/>
  <pageSetup paperSize="9" scale="7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A0792-C52F-43DE-9D9F-78ECB5DECAB0}">
  <sheetPr>
    <pageSetUpPr fitToPage="1"/>
  </sheetPr>
  <dimension ref="A2:L49"/>
  <sheetViews>
    <sheetView topLeftCell="A16" zoomScaleNormal="100" workbookViewId="0">
      <selection activeCell="I20" sqref="I20"/>
    </sheetView>
  </sheetViews>
  <sheetFormatPr defaultRowHeight="15"/>
  <cols>
    <col min="1" max="2" width="11.28515625" style="17" customWidth="1"/>
    <col min="3" max="3" width="52.28515625" style="17" customWidth="1"/>
    <col min="4" max="4" width="37.7109375" style="17" customWidth="1"/>
    <col min="5" max="7" width="16.42578125" style="17" customWidth="1"/>
    <col min="8" max="9" width="10.7109375" style="17" customWidth="1"/>
    <col min="10" max="16384" width="9.140625" style="17"/>
  </cols>
  <sheetData>
    <row r="2" spans="1:9" ht="15.75">
      <c r="A2" s="1011" t="s">
        <v>162</v>
      </c>
      <c r="B2" s="1011"/>
      <c r="C2" s="1011"/>
      <c r="D2" s="1011"/>
      <c r="E2" s="534"/>
    </row>
    <row r="3" spans="1:9" ht="16.5" thickBot="1">
      <c r="A3" s="535"/>
      <c r="B3" s="535"/>
      <c r="C3" s="535"/>
      <c r="D3" s="535"/>
      <c r="E3" s="534"/>
      <c r="G3" s="536"/>
      <c r="I3" s="536" t="s">
        <v>511</v>
      </c>
    </row>
    <row r="4" spans="1:9">
      <c r="A4" s="140" t="s">
        <v>1</v>
      </c>
      <c r="B4" s="64" t="s">
        <v>2</v>
      </c>
      <c r="C4" s="141" t="s">
        <v>3</v>
      </c>
      <c r="D4" s="142"/>
      <c r="E4" s="64" t="s">
        <v>332</v>
      </c>
      <c r="F4" s="64" t="s">
        <v>320</v>
      </c>
      <c r="G4" s="65" t="s">
        <v>314</v>
      </c>
      <c r="H4" s="65" t="s">
        <v>333</v>
      </c>
      <c r="I4" s="66" t="s">
        <v>333</v>
      </c>
    </row>
    <row r="5" spans="1:9">
      <c r="A5" s="143" t="s">
        <v>5</v>
      </c>
      <c r="B5" s="71" t="s">
        <v>6</v>
      </c>
      <c r="C5" s="144" t="s">
        <v>7</v>
      </c>
      <c r="D5" s="145" t="s">
        <v>8</v>
      </c>
      <c r="E5" s="71" t="s">
        <v>319</v>
      </c>
      <c r="F5" s="71" t="s">
        <v>321</v>
      </c>
      <c r="G5" s="72" t="s">
        <v>315</v>
      </c>
      <c r="H5" s="72" t="s">
        <v>317</v>
      </c>
      <c r="I5" s="73" t="s">
        <v>318</v>
      </c>
    </row>
    <row r="6" spans="1:9" ht="15.75" thickBot="1">
      <c r="A6" s="146" t="s">
        <v>9</v>
      </c>
      <c r="B6" s="78" t="s">
        <v>10</v>
      </c>
      <c r="C6" s="147"/>
      <c r="D6" s="148"/>
      <c r="E6" s="78" t="s">
        <v>291</v>
      </c>
      <c r="F6" s="78" t="str">
        <f>Kap.01!F14</f>
        <v>k 31.12.2019</v>
      </c>
      <c r="G6" s="79">
        <f>Kap.01!G14</f>
        <v>43830</v>
      </c>
      <c r="H6" s="80"/>
      <c r="I6" s="81"/>
    </row>
    <row r="7" spans="1:9" ht="15.75">
      <c r="A7" s="149" t="s">
        <v>11</v>
      </c>
      <c r="B7" s="150"/>
      <c r="C7" s="151"/>
      <c r="D7" s="152"/>
      <c r="E7" s="537"/>
      <c r="F7" s="538"/>
      <c r="G7" s="86"/>
      <c r="H7" s="86"/>
      <c r="I7" s="156"/>
    </row>
    <row r="8" spans="1:9" ht="15.75">
      <c r="A8" s="539" t="s">
        <v>163</v>
      </c>
      <c r="B8" s="540" t="s">
        <v>225</v>
      </c>
      <c r="C8" s="541"/>
      <c r="D8" s="542"/>
      <c r="E8" s="543">
        <f>SUM(E9:E16)</f>
        <v>11980</v>
      </c>
      <c r="F8" s="544">
        <f t="shared" ref="F8:G8" si="0">SUM(F9:F16)</f>
        <v>15845</v>
      </c>
      <c r="G8" s="543">
        <f t="shared" si="0"/>
        <v>14658</v>
      </c>
      <c r="H8" s="473">
        <f t="shared" ref="H8:H20" si="1">G8/E8*100</f>
        <v>122.35392320534224</v>
      </c>
      <c r="I8" s="474">
        <f t="shared" ref="I8:I20" si="2">G8/F8*100</f>
        <v>92.508677816345852</v>
      </c>
    </row>
    <row r="9" spans="1:9" ht="15.75">
      <c r="A9" s="545"/>
      <c r="B9" s="546"/>
      <c r="C9" s="287" t="s">
        <v>548</v>
      </c>
      <c r="D9" s="547" t="s">
        <v>424</v>
      </c>
      <c r="E9" s="548">
        <v>0</v>
      </c>
      <c r="F9" s="549">
        <v>190</v>
      </c>
      <c r="G9" s="388">
        <v>180</v>
      </c>
      <c r="H9" s="932" t="s">
        <v>557</v>
      </c>
      <c r="I9" s="429">
        <f t="shared" ref="I9" si="3">G9/F9*100</f>
        <v>94.73684210526315</v>
      </c>
    </row>
    <row r="10" spans="1:9" ht="15.75">
      <c r="A10" s="545"/>
      <c r="B10" s="546"/>
      <c r="C10" s="287" t="s">
        <v>23</v>
      </c>
      <c r="D10" s="287" t="s">
        <v>164</v>
      </c>
      <c r="E10" s="550">
        <v>2470</v>
      </c>
      <c r="F10" s="551">
        <v>3345</v>
      </c>
      <c r="G10" s="388">
        <v>2495</v>
      </c>
      <c r="H10" s="480">
        <f t="shared" si="1"/>
        <v>101.01214574898785</v>
      </c>
      <c r="I10" s="429">
        <f t="shared" si="2"/>
        <v>74.58893871449925</v>
      </c>
    </row>
    <row r="11" spans="1:9" ht="15.75">
      <c r="A11" s="545"/>
      <c r="B11" s="546"/>
      <c r="C11" s="287" t="s">
        <v>262</v>
      </c>
      <c r="D11" s="287" t="s">
        <v>164</v>
      </c>
      <c r="E11" s="550">
        <v>1350</v>
      </c>
      <c r="F11" s="551">
        <v>1350</v>
      </c>
      <c r="G11" s="388">
        <v>1296</v>
      </c>
      <c r="H11" s="480">
        <f t="shared" si="1"/>
        <v>96</v>
      </c>
      <c r="I11" s="429">
        <f t="shared" si="2"/>
        <v>96</v>
      </c>
    </row>
    <row r="12" spans="1:9" ht="15.75">
      <c r="A12" s="552"/>
      <c r="B12" s="553"/>
      <c r="C12" s="554" t="s">
        <v>554</v>
      </c>
      <c r="D12" s="547" t="s">
        <v>164</v>
      </c>
      <c r="E12" s="341">
        <v>1200</v>
      </c>
      <c r="F12" s="555">
        <v>1670</v>
      </c>
      <c r="G12" s="388">
        <v>1670</v>
      </c>
      <c r="H12" s="480">
        <f t="shared" si="1"/>
        <v>139.16666666666666</v>
      </c>
      <c r="I12" s="429">
        <f t="shared" si="2"/>
        <v>100</v>
      </c>
    </row>
    <row r="13" spans="1:9" ht="15.75">
      <c r="A13" s="552"/>
      <c r="B13" s="553"/>
      <c r="C13" s="554" t="s">
        <v>257</v>
      </c>
      <c r="D13" s="547" t="s">
        <v>164</v>
      </c>
      <c r="E13" s="341">
        <v>1460</v>
      </c>
      <c r="F13" s="555">
        <v>1460</v>
      </c>
      <c r="G13" s="524">
        <v>1452</v>
      </c>
      <c r="H13" s="480">
        <f t="shared" si="1"/>
        <v>99.452054794520549</v>
      </c>
      <c r="I13" s="429">
        <f t="shared" si="2"/>
        <v>99.452054794520549</v>
      </c>
    </row>
    <row r="14" spans="1:9" ht="26.25">
      <c r="A14" s="552"/>
      <c r="B14" s="553"/>
      <c r="C14" s="556" t="s">
        <v>306</v>
      </c>
      <c r="D14" s="547" t="s">
        <v>164</v>
      </c>
      <c r="E14" s="341">
        <v>1200</v>
      </c>
      <c r="F14" s="555">
        <v>980</v>
      </c>
      <c r="G14" s="524">
        <v>974</v>
      </c>
      <c r="H14" s="480">
        <f t="shared" si="1"/>
        <v>81.166666666666671</v>
      </c>
      <c r="I14" s="429">
        <f t="shared" si="2"/>
        <v>99.387755102040813</v>
      </c>
    </row>
    <row r="15" spans="1:9" ht="15.75">
      <c r="A15" s="552"/>
      <c r="B15" s="553"/>
      <c r="C15" s="554" t="s">
        <v>555</v>
      </c>
      <c r="D15" s="547" t="s">
        <v>164</v>
      </c>
      <c r="E15" s="341">
        <v>3600</v>
      </c>
      <c r="F15" s="555">
        <v>3600</v>
      </c>
      <c r="G15" s="524">
        <v>3412</v>
      </c>
      <c r="H15" s="480">
        <f t="shared" si="1"/>
        <v>94.777777777777786</v>
      </c>
      <c r="I15" s="429">
        <f t="shared" si="2"/>
        <v>94.777777777777786</v>
      </c>
    </row>
    <row r="16" spans="1:9" ht="15.75">
      <c r="A16" s="552"/>
      <c r="B16" s="553"/>
      <c r="C16" s="554" t="s">
        <v>305</v>
      </c>
      <c r="D16" s="547" t="s">
        <v>164</v>
      </c>
      <c r="E16" s="341">
        <v>700</v>
      </c>
      <c r="F16" s="555">
        <v>3250</v>
      </c>
      <c r="G16" s="524">
        <v>3179</v>
      </c>
      <c r="H16" s="480">
        <f t="shared" si="1"/>
        <v>454.14285714285717</v>
      </c>
      <c r="I16" s="429">
        <f t="shared" si="2"/>
        <v>97.815384615384616</v>
      </c>
    </row>
    <row r="17" spans="1:12" ht="15.75">
      <c r="A17" s="552"/>
      <c r="B17" s="557"/>
      <c r="C17" s="287"/>
      <c r="D17" s="547"/>
      <c r="E17" s="550"/>
      <c r="F17" s="551"/>
      <c r="G17" s="288"/>
      <c r="H17" s="480"/>
      <c r="I17" s="429"/>
    </row>
    <row r="18" spans="1:12">
      <c r="A18" s="309" t="s">
        <v>226</v>
      </c>
      <c r="B18" s="1012" t="s">
        <v>221</v>
      </c>
      <c r="C18" s="1013"/>
      <c r="D18" s="445"/>
      <c r="E18" s="558">
        <f>E19</f>
        <v>450</v>
      </c>
      <c r="F18" s="559">
        <f>F19</f>
        <v>650</v>
      </c>
      <c r="G18" s="558">
        <f>G19</f>
        <v>412</v>
      </c>
      <c r="H18" s="473">
        <f t="shared" si="1"/>
        <v>91.555555555555557</v>
      </c>
      <c r="I18" s="474">
        <f t="shared" si="2"/>
        <v>63.384615384615387</v>
      </c>
    </row>
    <row r="19" spans="1:12" ht="15.75" thickBot="1">
      <c r="A19" s="560"/>
      <c r="B19" s="561"/>
      <c r="C19" s="562" t="s">
        <v>165</v>
      </c>
      <c r="D19" s="563" t="s">
        <v>166</v>
      </c>
      <c r="E19" s="548">
        <v>450</v>
      </c>
      <c r="F19" s="549">
        <v>650</v>
      </c>
      <c r="G19" s="564">
        <v>412</v>
      </c>
      <c r="H19" s="508">
        <f t="shared" si="1"/>
        <v>91.555555555555557</v>
      </c>
      <c r="I19" s="509">
        <f t="shared" si="2"/>
        <v>63.384615384615387</v>
      </c>
    </row>
    <row r="20" spans="1:12" s="102" customFormat="1" ht="16.5" thickBot="1">
      <c r="A20" s="1014" t="s">
        <v>16</v>
      </c>
      <c r="B20" s="1015"/>
      <c r="C20" s="1016"/>
      <c r="D20" s="435"/>
      <c r="E20" s="565">
        <f>E18+E8</f>
        <v>12430</v>
      </c>
      <c r="F20" s="566">
        <f t="shared" ref="F20:G20" si="4">F18+F8</f>
        <v>16495</v>
      </c>
      <c r="G20" s="565">
        <f t="shared" si="4"/>
        <v>15070</v>
      </c>
      <c r="H20" s="494">
        <f t="shared" si="1"/>
        <v>121.23893805309736</v>
      </c>
      <c r="I20" s="495">
        <f t="shared" si="2"/>
        <v>91.361018490451656</v>
      </c>
    </row>
    <row r="21" spans="1:12" ht="15.75">
      <c r="A21" s="304"/>
      <c r="B21" s="304"/>
      <c r="C21" s="304"/>
      <c r="D21" s="305"/>
      <c r="E21" s="258"/>
    </row>
    <row r="22" spans="1:12" ht="15.75" thickBot="1"/>
    <row r="23" spans="1:12">
      <c r="A23" s="140" t="s">
        <v>1</v>
      </c>
      <c r="B23" s="64" t="s">
        <v>2</v>
      </c>
      <c r="C23" s="141" t="s">
        <v>3</v>
      </c>
      <c r="D23" s="142"/>
      <c r="E23" s="64" t="s">
        <v>332</v>
      </c>
      <c r="F23" s="64" t="s">
        <v>320</v>
      </c>
      <c r="G23" s="65" t="s">
        <v>314</v>
      </c>
      <c r="H23" s="65" t="s">
        <v>333</v>
      </c>
      <c r="I23" s="66" t="s">
        <v>333</v>
      </c>
    </row>
    <row r="24" spans="1:12">
      <c r="A24" s="143" t="s">
        <v>5</v>
      </c>
      <c r="B24" s="71" t="s">
        <v>6</v>
      </c>
      <c r="C24" s="144" t="s">
        <v>7</v>
      </c>
      <c r="D24" s="145" t="s">
        <v>8</v>
      </c>
      <c r="E24" s="71" t="s">
        <v>319</v>
      </c>
      <c r="F24" s="71" t="s">
        <v>321</v>
      </c>
      <c r="G24" s="72" t="s">
        <v>315</v>
      </c>
      <c r="H24" s="72" t="s">
        <v>317</v>
      </c>
      <c r="I24" s="73" t="s">
        <v>318</v>
      </c>
    </row>
    <row r="25" spans="1:12" ht="15.75" thickBot="1">
      <c r="A25" s="146" t="s">
        <v>9</v>
      </c>
      <c r="B25" s="78" t="s">
        <v>10</v>
      </c>
      <c r="C25" s="147"/>
      <c r="D25" s="148"/>
      <c r="E25" s="78" t="s">
        <v>291</v>
      </c>
      <c r="F25" s="78" t="str">
        <f>Kap.01!F14</f>
        <v>k 31.12.2019</v>
      </c>
      <c r="G25" s="79">
        <f>Kap.01!G14</f>
        <v>43830</v>
      </c>
      <c r="H25" s="80"/>
      <c r="I25" s="81"/>
    </row>
    <row r="26" spans="1:12" ht="17.25" customHeight="1">
      <c r="A26" s="149" t="s">
        <v>334</v>
      </c>
      <c r="B26" s="150"/>
      <c r="C26" s="151"/>
      <c r="D26" s="152"/>
      <c r="E26" s="153"/>
      <c r="F26" s="154"/>
      <c r="G26" s="155"/>
      <c r="H26" s="86"/>
      <c r="I26" s="156"/>
    </row>
    <row r="27" spans="1:12">
      <c r="A27" s="567" t="s">
        <v>163</v>
      </c>
      <c r="B27" s="568" t="s">
        <v>225</v>
      </c>
      <c r="C27" s="569"/>
      <c r="D27" s="570"/>
      <c r="E27" s="571">
        <f>SUM(E28:E43)</f>
        <v>38797</v>
      </c>
      <c r="F27" s="572">
        <f t="shared" ref="F27:G27" si="5">SUM(F28:F43)</f>
        <v>111306.2</v>
      </c>
      <c r="G27" s="571">
        <f t="shared" si="5"/>
        <v>40022</v>
      </c>
      <c r="H27" s="573">
        <f t="shared" ref="H27:H29" si="6">G27/E27*100</f>
        <v>103.15746062839909</v>
      </c>
      <c r="I27" s="574">
        <f t="shared" ref="I27:I29" si="7">G27/F27*100</f>
        <v>35.956667283583485</v>
      </c>
    </row>
    <row r="28" spans="1:12" ht="15" customHeight="1">
      <c r="A28" s="575"/>
      <c r="B28" s="576"/>
      <c r="C28" s="696" t="s">
        <v>404</v>
      </c>
      <c r="D28" s="686" t="s">
        <v>425</v>
      </c>
      <c r="E28" s="697">
        <v>6000</v>
      </c>
      <c r="F28" s="698">
        <v>78656</v>
      </c>
      <c r="G28" s="689">
        <v>19810</v>
      </c>
      <c r="H28" s="500">
        <f t="shared" si="6"/>
        <v>330.16666666666669</v>
      </c>
      <c r="I28" s="510">
        <f t="shared" si="7"/>
        <v>25.185618388934095</v>
      </c>
      <c r="J28" s="699"/>
      <c r="K28" s="699"/>
      <c r="L28" s="699"/>
    </row>
    <row r="29" spans="1:12" ht="26.25" customHeight="1">
      <c r="A29" s="575"/>
      <c r="B29" s="576"/>
      <c r="C29" s="700" t="s">
        <v>524</v>
      </c>
      <c r="D29" s="397" t="s">
        <v>425</v>
      </c>
      <c r="E29" s="701">
        <v>85</v>
      </c>
      <c r="F29" s="702">
        <v>1585</v>
      </c>
      <c r="G29" s="689">
        <v>907</v>
      </c>
      <c r="H29" s="703">
        <f t="shared" si="6"/>
        <v>1067.0588235294117</v>
      </c>
      <c r="I29" s="704">
        <f t="shared" si="7"/>
        <v>57.223974763406936</v>
      </c>
      <c r="J29" s="699"/>
      <c r="K29" s="699"/>
      <c r="L29" s="699"/>
    </row>
    <row r="30" spans="1:12" ht="15" customHeight="1">
      <c r="A30" s="265"/>
      <c r="B30" s="266"/>
      <c r="C30" s="696" t="s">
        <v>405</v>
      </c>
      <c r="D30" s="686" t="s">
        <v>424</v>
      </c>
      <c r="E30" s="697">
        <v>10000</v>
      </c>
      <c r="F30" s="698">
        <v>12000</v>
      </c>
      <c r="G30" s="689">
        <v>11871</v>
      </c>
      <c r="H30" s="500">
        <f t="shared" ref="H30:H44" si="8">G30/E30*100</f>
        <v>118.71000000000001</v>
      </c>
      <c r="I30" s="510">
        <f t="shared" ref="I30:I44" si="9">G30/F30*100</f>
        <v>98.924999999999997</v>
      </c>
      <c r="J30" s="699"/>
      <c r="K30" s="699"/>
      <c r="L30" s="699"/>
    </row>
    <row r="31" spans="1:12" ht="15" customHeight="1">
      <c r="A31" s="265"/>
      <c r="B31" s="266"/>
      <c r="C31" s="696" t="s">
        <v>406</v>
      </c>
      <c r="D31" s="686" t="s">
        <v>424</v>
      </c>
      <c r="E31" s="697">
        <v>182</v>
      </c>
      <c r="F31" s="698">
        <v>182</v>
      </c>
      <c r="G31" s="689">
        <v>0</v>
      </c>
      <c r="H31" s="500">
        <f t="shared" si="8"/>
        <v>0</v>
      </c>
      <c r="I31" s="510">
        <f t="shared" si="9"/>
        <v>0</v>
      </c>
      <c r="J31" s="699"/>
      <c r="K31" s="699"/>
      <c r="L31" s="699"/>
    </row>
    <row r="32" spans="1:12" ht="15" customHeight="1">
      <c r="A32" s="265"/>
      <c r="B32" s="266"/>
      <c r="C32" s="696" t="s">
        <v>418</v>
      </c>
      <c r="D32" s="686" t="s">
        <v>425</v>
      </c>
      <c r="E32" s="697">
        <v>6134</v>
      </c>
      <c r="F32" s="698">
        <v>212</v>
      </c>
      <c r="G32" s="689">
        <v>194</v>
      </c>
      <c r="H32" s="500">
        <f t="shared" si="8"/>
        <v>3.162699706553636</v>
      </c>
      <c r="I32" s="510">
        <f t="shared" si="9"/>
        <v>91.509433962264154</v>
      </c>
      <c r="J32" s="699"/>
      <c r="K32" s="699"/>
      <c r="L32" s="699"/>
    </row>
    <row r="33" spans="1:12" ht="15" customHeight="1">
      <c r="A33" s="265"/>
      <c r="B33" s="266"/>
      <c r="C33" s="696" t="s">
        <v>488</v>
      </c>
      <c r="D33" s="686" t="s">
        <v>425</v>
      </c>
      <c r="E33" s="697">
        <v>3450</v>
      </c>
      <c r="F33" s="698">
        <v>3450</v>
      </c>
      <c r="G33" s="689">
        <v>2558</v>
      </c>
      <c r="H33" s="500">
        <f t="shared" si="8"/>
        <v>74.14492753623189</v>
      </c>
      <c r="I33" s="510">
        <f t="shared" si="9"/>
        <v>74.14492753623189</v>
      </c>
      <c r="J33" s="699"/>
      <c r="K33" s="699"/>
      <c r="L33" s="699"/>
    </row>
    <row r="34" spans="1:12" ht="15" customHeight="1">
      <c r="A34" s="265"/>
      <c r="B34" s="266"/>
      <c r="C34" s="696" t="s">
        <v>489</v>
      </c>
      <c r="D34" s="686" t="s">
        <v>424</v>
      </c>
      <c r="E34" s="697">
        <v>3100</v>
      </c>
      <c r="F34" s="698">
        <v>2628.2</v>
      </c>
      <c r="G34" s="689">
        <v>2628</v>
      </c>
      <c r="H34" s="500">
        <f t="shared" si="8"/>
        <v>84.774193548387103</v>
      </c>
      <c r="I34" s="510">
        <f t="shared" si="9"/>
        <v>99.992390229054124</v>
      </c>
      <c r="J34" s="699"/>
      <c r="K34" s="699"/>
      <c r="L34" s="699"/>
    </row>
    <row r="35" spans="1:12" ht="15" customHeight="1">
      <c r="A35" s="265"/>
      <c r="B35" s="266"/>
      <c r="C35" s="696" t="s">
        <v>490</v>
      </c>
      <c r="D35" s="686" t="s">
        <v>424</v>
      </c>
      <c r="E35" s="697">
        <v>2201</v>
      </c>
      <c r="F35" s="698">
        <v>2201</v>
      </c>
      <c r="G35" s="689">
        <v>266</v>
      </c>
      <c r="H35" s="500">
        <f t="shared" si="8"/>
        <v>12.085415720127216</v>
      </c>
      <c r="I35" s="510">
        <f t="shared" si="9"/>
        <v>12.085415720127216</v>
      </c>
      <c r="J35" s="699"/>
      <c r="K35" s="699"/>
      <c r="L35" s="699"/>
    </row>
    <row r="36" spans="1:12" ht="15" customHeight="1">
      <c r="A36" s="265"/>
      <c r="B36" s="266"/>
      <c r="C36" s="696" t="s">
        <v>491</v>
      </c>
      <c r="D36" s="686" t="s">
        <v>424</v>
      </c>
      <c r="E36" s="697">
        <v>2145</v>
      </c>
      <c r="F36" s="698">
        <v>2015</v>
      </c>
      <c r="G36" s="689">
        <v>0</v>
      </c>
      <c r="H36" s="500">
        <f t="shared" si="8"/>
        <v>0</v>
      </c>
      <c r="I36" s="510">
        <f t="shared" si="9"/>
        <v>0</v>
      </c>
      <c r="J36" s="699"/>
      <c r="K36" s="699"/>
      <c r="L36" s="699"/>
    </row>
    <row r="37" spans="1:12" ht="15" customHeight="1">
      <c r="A37" s="265"/>
      <c r="B37" s="266"/>
      <c r="C37" s="696" t="s">
        <v>556</v>
      </c>
      <c r="D37" s="686" t="s">
        <v>425</v>
      </c>
      <c r="E37" s="697">
        <v>5500</v>
      </c>
      <c r="F37" s="698">
        <v>0</v>
      </c>
      <c r="G37" s="689">
        <v>0</v>
      </c>
      <c r="H37" s="500">
        <f t="shared" si="8"/>
        <v>0</v>
      </c>
      <c r="I37" s="937" t="s">
        <v>557</v>
      </c>
      <c r="J37" s="699"/>
      <c r="K37" s="699"/>
      <c r="L37" s="699"/>
    </row>
    <row r="38" spans="1:12" ht="15" customHeight="1">
      <c r="A38" s="265"/>
      <c r="B38" s="266"/>
      <c r="C38" s="705" t="s">
        <v>444</v>
      </c>
      <c r="D38" s="686" t="s">
        <v>425</v>
      </c>
      <c r="E38" s="706">
        <v>0</v>
      </c>
      <c r="F38" s="707">
        <v>258.5</v>
      </c>
      <c r="G38" s="708">
        <v>258</v>
      </c>
      <c r="H38" s="927" t="s">
        <v>557</v>
      </c>
      <c r="I38" s="510">
        <f t="shared" si="9"/>
        <v>99.806576402321085</v>
      </c>
      <c r="J38" s="699"/>
      <c r="K38" s="699"/>
      <c r="L38" s="699"/>
    </row>
    <row r="39" spans="1:12" ht="15" customHeight="1">
      <c r="A39" s="265"/>
      <c r="B39" s="266"/>
      <c r="C39" s="705" t="s">
        <v>445</v>
      </c>
      <c r="D39" s="686" t="s">
        <v>425</v>
      </c>
      <c r="E39" s="706">
        <v>0</v>
      </c>
      <c r="F39" s="707">
        <v>1200</v>
      </c>
      <c r="G39" s="708">
        <v>1150</v>
      </c>
      <c r="H39" s="927" t="s">
        <v>557</v>
      </c>
      <c r="I39" s="510">
        <f t="shared" si="9"/>
        <v>95.833333333333343</v>
      </c>
      <c r="J39" s="699"/>
      <c r="K39" s="699"/>
      <c r="L39" s="699"/>
    </row>
    <row r="40" spans="1:12" ht="15" customHeight="1">
      <c r="A40" s="265"/>
      <c r="B40" s="266"/>
      <c r="C40" s="705" t="s">
        <v>487</v>
      </c>
      <c r="D40" s="686" t="s">
        <v>425</v>
      </c>
      <c r="E40" s="706">
        <v>0</v>
      </c>
      <c r="F40" s="707">
        <v>78.5</v>
      </c>
      <c r="G40" s="708">
        <v>78</v>
      </c>
      <c r="H40" s="927" t="s">
        <v>557</v>
      </c>
      <c r="I40" s="510">
        <f t="shared" si="9"/>
        <v>99.363057324840767</v>
      </c>
      <c r="J40" s="699"/>
      <c r="K40" s="699"/>
      <c r="L40" s="699"/>
    </row>
    <row r="41" spans="1:12" ht="15" customHeight="1">
      <c r="A41" s="265"/>
      <c r="B41" s="266"/>
      <c r="C41" s="705" t="s">
        <v>539</v>
      </c>
      <c r="D41" s="686" t="s">
        <v>425</v>
      </c>
      <c r="E41" s="706">
        <v>0</v>
      </c>
      <c r="F41" s="707">
        <v>6185</v>
      </c>
      <c r="G41" s="708">
        <v>0</v>
      </c>
      <c r="H41" s="927" t="s">
        <v>557</v>
      </c>
      <c r="I41" s="510">
        <f t="shared" si="9"/>
        <v>0</v>
      </c>
      <c r="J41" s="699"/>
      <c r="K41" s="699"/>
      <c r="L41" s="699"/>
    </row>
    <row r="42" spans="1:12" ht="15" customHeight="1">
      <c r="A42" s="265"/>
      <c r="B42" s="266"/>
      <c r="C42" s="705" t="s">
        <v>540</v>
      </c>
      <c r="D42" s="686" t="s">
        <v>424</v>
      </c>
      <c r="E42" s="706">
        <v>0</v>
      </c>
      <c r="F42" s="707">
        <v>350</v>
      </c>
      <c r="G42" s="708">
        <v>0</v>
      </c>
      <c r="H42" s="927" t="s">
        <v>557</v>
      </c>
      <c r="I42" s="510">
        <f t="shared" si="9"/>
        <v>0</v>
      </c>
      <c r="J42" s="699"/>
      <c r="K42" s="699"/>
      <c r="L42" s="699"/>
    </row>
    <row r="43" spans="1:12" ht="15" customHeight="1" thickBot="1">
      <c r="A43" s="579"/>
      <c r="B43" s="580"/>
      <c r="C43" s="709" t="s">
        <v>541</v>
      </c>
      <c r="D43" s="686" t="s">
        <v>425</v>
      </c>
      <c r="E43" s="710">
        <v>0</v>
      </c>
      <c r="F43" s="711">
        <v>305</v>
      </c>
      <c r="G43" s="712">
        <v>302</v>
      </c>
      <c r="H43" s="927" t="s">
        <v>557</v>
      </c>
      <c r="I43" s="510">
        <f t="shared" ref="I43" si="10">G43/F43*100</f>
        <v>99.016393442622956</v>
      </c>
      <c r="J43" s="699"/>
      <c r="K43" s="699"/>
      <c r="L43" s="699"/>
    </row>
    <row r="44" spans="1:12" s="102" customFormat="1" ht="15" customHeight="1" thickBot="1">
      <c r="A44" s="1014" t="s">
        <v>411</v>
      </c>
      <c r="B44" s="1015"/>
      <c r="C44" s="1016"/>
      <c r="D44" s="435"/>
      <c r="E44" s="565">
        <f>E27</f>
        <v>38797</v>
      </c>
      <c r="F44" s="566">
        <f>F27</f>
        <v>111306.2</v>
      </c>
      <c r="G44" s="565">
        <f t="shared" ref="G44" si="11">G27</f>
        <v>40022</v>
      </c>
      <c r="H44" s="494">
        <f t="shared" si="8"/>
        <v>103.15746062839909</v>
      </c>
      <c r="I44" s="495">
        <f t="shared" si="9"/>
        <v>35.956667283583485</v>
      </c>
    </row>
    <row r="45" spans="1:12" ht="15.75" thickBot="1">
      <c r="F45" s="54"/>
    </row>
    <row r="46" spans="1:12" s="102" customFormat="1" ht="16.5" thickBot="1">
      <c r="A46" s="1014" t="s">
        <v>417</v>
      </c>
      <c r="B46" s="1015"/>
      <c r="C46" s="1016"/>
      <c r="D46" s="435"/>
      <c r="E46" s="565">
        <f>E20+E44</f>
        <v>51227</v>
      </c>
      <c r="F46" s="566">
        <f>F20+F44</f>
        <v>127801.2</v>
      </c>
      <c r="G46" s="565">
        <f>G20+G44</f>
        <v>55092</v>
      </c>
      <c r="H46" s="494">
        <f t="shared" ref="H46" si="12">G46/E46*100</f>
        <v>107.54484939582642</v>
      </c>
      <c r="I46" s="495">
        <f t="shared" ref="I46" si="13">G46/F46*100</f>
        <v>43.10757645468118</v>
      </c>
    </row>
    <row r="49" spans="6:6">
      <c r="F49" s="17" t="s">
        <v>115</v>
      </c>
    </row>
  </sheetData>
  <mergeCells count="5">
    <mergeCell ref="A2:D2"/>
    <mergeCell ref="B18:C18"/>
    <mergeCell ref="A20:C20"/>
    <mergeCell ref="A44:C44"/>
    <mergeCell ref="A46:C46"/>
  </mergeCells>
  <printOptions horizontalCentered="1"/>
  <pageMargins left="0.43307086614173229" right="0" top="0.11811023622047245" bottom="0" header="0" footer="0"/>
  <pageSetup paperSize="9" scale="76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81A14-02A8-4949-81C2-31F8F05BB4A4}">
  <sheetPr>
    <pageSetUpPr fitToPage="1"/>
  </sheetPr>
  <dimension ref="A2:L137"/>
  <sheetViews>
    <sheetView zoomScaleNormal="100" workbookViewId="0">
      <selection activeCell="I125" sqref="I125"/>
    </sheetView>
  </sheetViews>
  <sheetFormatPr defaultRowHeight="15"/>
  <cols>
    <col min="1" max="1" width="10.140625" style="519" customWidth="1"/>
    <col min="2" max="2" width="11.28515625" style="519" customWidth="1"/>
    <col min="3" max="3" width="45" style="519" customWidth="1"/>
    <col min="4" max="4" width="47" style="519" customWidth="1"/>
    <col min="5" max="5" width="15" style="519" customWidth="1"/>
    <col min="6" max="6" width="16.42578125" style="519" customWidth="1"/>
    <col min="7" max="7" width="13.5703125" style="519" customWidth="1"/>
    <col min="8" max="9" width="10.7109375" style="519" customWidth="1"/>
    <col min="10" max="16384" width="9.140625" style="519"/>
  </cols>
  <sheetData>
    <row r="2" spans="1:12" ht="15.75">
      <c r="A2" s="57" t="s">
        <v>167</v>
      </c>
      <c r="B2" s="57"/>
      <c r="C2" s="57"/>
      <c r="D2" s="57"/>
    </row>
    <row r="3" spans="1:12" ht="18" customHeight="1" thickBot="1">
      <c r="A3" s="58"/>
      <c r="G3" s="520"/>
      <c r="I3" s="520" t="s">
        <v>510</v>
      </c>
    </row>
    <row r="4" spans="1:12">
      <c r="A4" s="60" t="s">
        <v>1</v>
      </c>
      <c r="B4" s="61" t="s">
        <v>2</v>
      </c>
      <c r="C4" s="62" t="s">
        <v>3</v>
      </c>
      <c r="D4" s="63"/>
      <c r="E4" s="64" t="s">
        <v>332</v>
      </c>
      <c r="F4" s="64" t="s">
        <v>320</v>
      </c>
      <c r="G4" s="65" t="s">
        <v>314</v>
      </c>
      <c r="H4" s="65" t="s">
        <v>333</v>
      </c>
      <c r="I4" s="66" t="s">
        <v>333</v>
      </c>
    </row>
    <row r="5" spans="1:12">
      <c r="A5" s="67" t="s">
        <v>5</v>
      </c>
      <c r="B5" s="68" t="s">
        <v>6</v>
      </c>
      <c r="C5" s="69" t="s">
        <v>7</v>
      </c>
      <c r="D5" s="70" t="s">
        <v>8</v>
      </c>
      <c r="E5" s="71" t="s">
        <v>319</v>
      </c>
      <c r="F5" s="71" t="s">
        <v>321</v>
      </c>
      <c r="G5" s="72" t="s">
        <v>315</v>
      </c>
      <c r="H5" s="72" t="s">
        <v>317</v>
      </c>
      <c r="I5" s="73" t="s">
        <v>318</v>
      </c>
    </row>
    <row r="6" spans="1:12" ht="15" customHeight="1" thickBot="1">
      <c r="A6" s="74" t="s">
        <v>9</v>
      </c>
      <c r="B6" s="75" t="s">
        <v>10</v>
      </c>
      <c r="C6" s="76"/>
      <c r="D6" s="77"/>
      <c r="E6" s="78" t="s">
        <v>291</v>
      </c>
      <c r="F6" s="78" t="str">
        <f>Kap.01!F14</f>
        <v>k 31.12.2019</v>
      </c>
      <c r="G6" s="79">
        <f>Kap.01!G14</f>
        <v>43830</v>
      </c>
      <c r="H6" s="80"/>
      <c r="I6" s="81"/>
    </row>
    <row r="7" spans="1:12" ht="15" customHeight="1">
      <c r="A7" s="82" t="s">
        <v>11</v>
      </c>
      <c r="B7" s="83"/>
      <c r="C7" s="84"/>
      <c r="D7" s="85"/>
      <c r="E7" s="206"/>
      <c r="F7" s="207"/>
      <c r="G7" s="350"/>
      <c r="H7" s="522"/>
      <c r="I7" s="523"/>
      <c r="J7" s="352"/>
      <c r="K7" s="124"/>
      <c r="L7" s="124"/>
    </row>
    <row r="8" spans="1:12" ht="15" customHeight="1">
      <c r="A8" s="581" t="s">
        <v>168</v>
      </c>
      <c r="B8" s="1017" t="s">
        <v>169</v>
      </c>
      <c r="C8" s="1018"/>
      <c r="D8" s="582"/>
      <c r="E8" s="216">
        <f>E9+E29+E38+E40</f>
        <v>255768</v>
      </c>
      <c r="F8" s="217">
        <f>F9+F29+F38+F40</f>
        <v>278126.80000000005</v>
      </c>
      <c r="G8" s="216">
        <f>G9+G29+G38+G40</f>
        <v>236483</v>
      </c>
      <c r="H8" s="473">
        <f t="shared" ref="H8:H47" si="0">G8/E8*100</f>
        <v>92.45996371711864</v>
      </c>
      <c r="I8" s="474">
        <f t="shared" ref="I8:I48" si="1">G8/F8*100</f>
        <v>85.027045218224202</v>
      </c>
    </row>
    <row r="9" spans="1:12" ht="12.75" customHeight="1">
      <c r="A9" s="583"/>
      <c r="B9" s="584"/>
      <c r="C9" s="387"/>
      <c r="D9" s="582" t="s">
        <v>170</v>
      </c>
      <c r="E9" s="216">
        <f>SUM(E10:E27)</f>
        <v>235586</v>
      </c>
      <c r="F9" s="217">
        <f>SUM(F10:F27)</f>
        <v>254801.5</v>
      </c>
      <c r="G9" s="216">
        <f>SUM(G10:G27)</f>
        <v>215198</v>
      </c>
      <c r="H9" s="473">
        <f t="shared" si="0"/>
        <v>91.345835491073331</v>
      </c>
      <c r="I9" s="474">
        <f t="shared" si="1"/>
        <v>84.457116618230259</v>
      </c>
    </row>
    <row r="10" spans="1:12" ht="12.75" customHeight="1">
      <c r="A10" s="583"/>
      <c r="B10" s="584"/>
      <c r="C10" s="376"/>
      <c r="D10" s="614" t="s">
        <v>171</v>
      </c>
      <c r="E10" s="234">
        <v>157000</v>
      </c>
      <c r="F10" s="235">
        <v>171888.3</v>
      </c>
      <c r="G10" s="234">
        <v>145764</v>
      </c>
      <c r="H10" s="480">
        <f t="shared" si="0"/>
        <v>92.843312101910826</v>
      </c>
      <c r="I10" s="429">
        <f t="shared" si="1"/>
        <v>84.801583353840854</v>
      </c>
    </row>
    <row r="11" spans="1:12" ht="12.75" customHeight="1">
      <c r="A11" s="583"/>
      <c r="B11" s="584"/>
      <c r="C11" s="376"/>
      <c r="D11" s="614" t="s">
        <v>172</v>
      </c>
      <c r="E11" s="234">
        <v>11000</v>
      </c>
      <c r="F11" s="235">
        <v>10685</v>
      </c>
      <c r="G11" s="234">
        <v>7570</v>
      </c>
      <c r="H11" s="480">
        <f t="shared" ref="H11:H27" si="2">G11/E11*100</f>
        <v>68.818181818181827</v>
      </c>
      <c r="I11" s="429">
        <f t="shared" ref="I11:I25" si="3">G11/F11*100</f>
        <v>70.846981750116981</v>
      </c>
    </row>
    <row r="12" spans="1:12" ht="12.75" customHeight="1">
      <c r="A12" s="583"/>
      <c r="B12" s="615" t="s">
        <v>235</v>
      </c>
      <c r="C12" s="376" t="s">
        <v>173</v>
      </c>
      <c r="D12" s="614" t="s">
        <v>174</v>
      </c>
      <c r="E12" s="234">
        <v>320</v>
      </c>
      <c r="F12" s="235">
        <v>320</v>
      </c>
      <c r="G12" s="234">
        <v>232</v>
      </c>
      <c r="H12" s="480">
        <f t="shared" si="2"/>
        <v>72.5</v>
      </c>
      <c r="I12" s="429">
        <f t="shared" si="3"/>
        <v>72.5</v>
      </c>
    </row>
    <row r="13" spans="1:12" ht="12.75" customHeight="1">
      <c r="A13" s="583"/>
      <c r="B13" s="584"/>
      <c r="C13" s="376"/>
      <c r="D13" s="614" t="s">
        <v>175</v>
      </c>
      <c r="E13" s="234">
        <v>3000</v>
      </c>
      <c r="F13" s="235">
        <v>4000</v>
      </c>
      <c r="G13" s="234">
        <v>3506</v>
      </c>
      <c r="H13" s="480">
        <f t="shared" si="2"/>
        <v>116.86666666666667</v>
      </c>
      <c r="I13" s="429">
        <f t="shared" si="3"/>
        <v>87.649999999999991</v>
      </c>
    </row>
    <row r="14" spans="1:12" ht="12.75" customHeight="1">
      <c r="A14" s="583"/>
      <c r="B14" s="584"/>
      <c r="C14" s="376"/>
      <c r="D14" s="614" t="s">
        <v>176</v>
      </c>
      <c r="E14" s="234">
        <v>40400</v>
      </c>
      <c r="F14" s="235">
        <v>43162.1</v>
      </c>
      <c r="G14" s="234">
        <v>37648</v>
      </c>
      <c r="H14" s="480">
        <f t="shared" si="2"/>
        <v>93.188118811881196</v>
      </c>
      <c r="I14" s="429">
        <f t="shared" si="3"/>
        <v>87.224671644799486</v>
      </c>
    </row>
    <row r="15" spans="1:12" ht="12.75" customHeight="1">
      <c r="A15" s="583"/>
      <c r="B15" s="584"/>
      <c r="C15" s="376"/>
      <c r="D15" s="614" t="s">
        <v>177</v>
      </c>
      <c r="E15" s="234">
        <v>600</v>
      </c>
      <c r="F15" s="235">
        <v>960.7</v>
      </c>
      <c r="G15" s="234">
        <v>804</v>
      </c>
      <c r="H15" s="480">
        <f t="shared" si="2"/>
        <v>134</v>
      </c>
      <c r="I15" s="429">
        <f t="shared" si="3"/>
        <v>83.688976787758918</v>
      </c>
    </row>
    <row r="16" spans="1:12" ht="12.75" customHeight="1">
      <c r="A16" s="583"/>
      <c r="B16" s="584"/>
      <c r="C16" s="376"/>
      <c r="D16" s="614" t="s">
        <v>178</v>
      </c>
      <c r="E16" s="234">
        <v>14171</v>
      </c>
      <c r="F16" s="235">
        <v>15173</v>
      </c>
      <c r="G16" s="234">
        <v>13684</v>
      </c>
      <c r="H16" s="480">
        <f t="shared" si="2"/>
        <v>96.563404135205701</v>
      </c>
      <c r="I16" s="429">
        <f t="shared" si="3"/>
        <v>90.186515520991236</v>
      </c>
    </row>
    <row r="17" spans="1:12" ht="12.75" customHeight="1">
      <c r="A17" s="583"/>
      <c r="B17" s="584"/>
      <c r="C17" s="376"/>
      <c r="D17" s="614" t="s">
        <v>179</v>
      </c>
      <c r="E17" s="234">
        <v>740</v>
      </c>
      <c r="F17" s="235">
        <v>740</v>
      </c>
      <c r="G17" s="234">
        <v>684</v>
      </c>
      <c r="H17" s="480">
        <f t="shared" si="2"/>
        <v>92.432432432432435</v>
      </c>
      <c r="I17" s="429">
        <f t="shared" si="3"/>
        <v>92.432432432432435</v>
      </c>
    </row>
    <row r="18" spans="1:12" ht="12.75" customHeight="1">
      <c r="A18" s="583"/>
      <c r="B18" s="584"/>
      <c r="C18" s="376"/>
      <c r="D18" s="614" t="s">
        <v>119</v>
      </c>
      <c r="E18" s="234">
        <v>3000</v>
      </c>
      <c r="F18" s="235">
        <v>3500</v>
      </c>
      <c r="G18" s="234">
        <v>2086</v>
      </c>
      <c r="H18" s="480">
        <f t="shared" si="2"/>
        <v>69.533333333333331</v>
      </c>
      <c r="I18" s="429">
        <f t="shared" si="3"/>
        <v>59.599999999999994</v>
      </c>
    </row>
    <row r="19" spans="1:12" ht="12.75" customHeight="1">
      <c r="A19" s="1019"/>
      <c r="B19" s="1021"/>
      <c r="C19" s="1023"/>
      <c r="D19" s="392" t="s">
        <v>212</v>
      </c>
      <c r="E19" s="984">
        <v>400</v>
      </c>
      <c r="F19" s="986">
        <v>365</v>
      </c>
      <c r="G19" s="460"/>
      <c r="H19" s="1025">
        <f>G20/E19*100</f>
        <v>91.25</v>
      </c>
      <c r="I19" s="980">
        <f>G20/F19*100</f>
        <v>100</v>
      </c>
    </row>
    <row r="20" spans="1:12" ht="12.75" customHeight="1">
      <c r="A20" s="1020"/>
      <c r="B20" s="1022"/>
      <c r="C20" s="1024"/>
      <c r="D20" s="395" t="s">
        <v>213</v>
      </c>
      <c r="E20" s="985"/>
      <c r="F20" s="987"/>
      <c r="G20" s="616">
        <v>365</v>
      </c>
      <c r="H20" s="1026"/>
      <c r="I20" s="981"/>
    </row>
    <row r="21" spans="1:12" ht="12.75" customHeight="1">
      <c r="A21" s="583"/>
      <c r="B21" s="584"/>
      <c r="C21" s="376" t="s">
        <v>173</v>
      </c>
      <c r="D21" s="614" t="s">
        <v>277</v>
      </c>
      <c r="E21" s="234">
        <v>100</v>
      </c>
      <c r="F21" s="235">
        <v>100</v>
      </c>
      <c r="G21" s="616">
        <v>56</v>
      </c>
      <c r="H21" s="480">
        <f t="shared" si="2"/>
        <v>56.000000000000007</v>
      </c>
      <c r="I21" s="429">
        <f t="shared" si="3"/>
        <v>56.000000000000007</v>
      </c>
    </row>
    <row r="22" spans="1:12" ht="12.75" customHeight="1">
      <c r="A22" s="583"/>
      <c r="B22" s="584"/>
      <c r="C22" s="376"/>
      <c r="D22" s="614" t="s">
        <v>180</v>
      </c>
      <c r="E22" s="234">
        <v>100</v>
      </c>
      <c r="F22" s="235">
        <v>100</v>
      </c>
      <c r="G22" s="616">
        <v>0</v>
      </c>
      <c r="H22" s="480">
        <f t="shared" si="2"/>
        <v>0</v>
      </c>
      <c r="I22" s="429">
        <f t="shared" si="3"/>
        <v>0</v>
      </c>
    </row>
    <row r="23" spans="1:12" ht="12.75" customHeight="1">
      <c r="A23" s="583"/>
      <c r="B23" s="584"/>
      <c r="C23" s="376"/>
      <c r="D23" s="614" t="s">
        <v>196</v>
      </c>
      <c r="E23" s="234">
        <v>0</v>
      </c>
      <c r="F23" s="235">
        <v>142.80000000000001</v>
      </c>
      <c r="G23" s="616">
        <v>142</v>
      </c>
      <c r="H23" s="932" t="s">
        <v>557</v>
      </c>
      <c r="I23" s="429">
        <f t="shared" ref="I23" si="4">G23/F23*100</f>
        <v>99.439775910364133</v>
      </c>
      <c r="J23" s="533"/>
    </row>
    <row r="24" spans="1:12" ht="12.75" customHeight="1">
      <c r="A24" s="583"/>
      <c r="B24" s="584"/>
      <c r="C24" s="376" t="s">
        <v>173</v>
      </c>
      <c r="D24" s="614" t="s">
        <v>181</v>
      </c>
      <c r="E24" s="234">
        <v>2485</v>
      </c>
      <c r="F24" s="235">
        <v>2485</v>
      </c>
      <c r="G24" s="616">
        <v>2142</v>
      </c>
      <c r="H24" s="480">
        <f t="shared" si="2"/>
        <v>86.197183098591552</v>
      </c>
      <c r="I24" s="429">
        <f t="shared" si="3"/>
        <v>86.197183098591552</v>
      </c>
      <c r="L24" s="532"/>
    </row>
    <row r="25" spans="1:12" ht="12.75" customHeight="1">
      <c r="A25" s="583"/>
      <c r="B25" s="584"/>
      <c r="C25" s="487" t="s">
        <v>23</v>
      </c>
      <c r="D25" s="526" t="s">
        <v>121</v>
      </c>
      <c r="E25" s="524">
        <v>700</v>
      </c>
      <c r="F25" s="479">
        <v>700</v>
      </c>
      <c r="G25" s="616">
        <v>35</v>
      </c>
      <c r="H25" s="480">
        <f t="shared" si="2"/>
        <v>5</v>
      </c>
      <c r="I25" s="429">
        <f t="shared" si="3"/>
        <v>5</v>
      </c>
    </row>
    <row r="26" spans="1:12" ht="12.75" customHeight="1">
      <c r="A26" s="583"/>
      <c r="B26" s="615"/>
      <c r="C26" s="376"/>
      <c r="D26" s="614"/>
      <c r="E26" s="524"/>
      <c r="F26" s="479"/>
      <c r="G26" s="234"/>
      <c r="H26" s="480"/>
      <c r="I26" s="429"/>
    </row>
    <row r="27" spans="1:12" ht="12.75" customHeight="1">
      <c r="A27" s="583"/>
      <c r="B27" s="617"/>
      <c r="C27" s="585" t="s">
        <v>483</v>
      </c>
      <c r="D27" s="585" t="s">
        <v>286</v>
      </c>
      <c r="E27" s="524">
        <v>1570</v>
      </c>
      <c r="F27" s="479">
        <v>479.6</v>
      </c>
      <c r="G27" s="234">
        <v>480</v>
      </c>
      <c r="H27" s="480">
        <f t="shared" si="2"/>
        <v>30.573248407643312</v>
      </c>
      <c r="I27" s="429">
        <f t="shared" ref="I27" si="5">G27/F27*100</f>
        <v>100.0834028356964</v>
      </c>
    </row>
    <row r="28" spans="1:12" ht="12.75" customHeight="1">
      <c r="A28" s="583"/>
      <c r="B28" s="617"/>
      <c r="C28" s="586"/>
      <c r="D28" s="526"/>
      <c r="E28" s="524"/>
      <c r="F28" s="524"/>
      <c r="G28" s="234"/>
      <c r="H28" s="480"/>
      <c r="I28" s="429"/>
    </row>
    <row r="29" spans="1:12" ht="12.75" customHeight="1">
      <c r="A29" s="583"/>
      <c r="B29" s="584"/>
      <c r="C29" s="387"/>
      <c r="D29" s="582" t="s">
        <v>182</v>
      </c>
      <c r="E29" s="216">
        <f>SUM(E30:E36)</f>
        <v>20182</v>
      </c>
      <c r="F29" s="217">
        <f>SUM(F30:F36)</f>
        <v>20242</v>
      </c>
      <c r="G29" s="216">
        <f>SUM(G30:G36)</f>
        <v>19069</v>
      </c>
      <c r="H29" s="473">
        <f>G29/E29*100</f>
        <v>94.485184818154792</v>
      </c>
      <c r="I29" s="474">
        <f t="shared" ref="I29:I38" si="6">G29/F29*100</f>
        <v>94.205118071336827</v>
      </c>
    </row>
    <row r="30" spans="1:12" ht="12.75" customHeight="1">
      <c r="A30" s="583"/>
      <c r="B30" s="584"/>
      <c r="C30" s="387"/>
      <c r="D30" s="614" t="s">
        <v>183</v>
      </c>
      <c r="E30" s="234">
        <v>15900</v>
      </c>
      <c r="F30" s="235">
        <v>15900</v>
      </c>
      <c r="G30" s="234">
        <v>15004</v>
      </c>
      <c r="H30" s="480">
        <f>G30/E30*100</f>
        <v>94.364779874213838</v>
      </c>
      <c r="I30" s="429">
        <f t="shared" si="6"/>
        <v>94.364779874213838</v>
      </c>
    </row>
    <row r="31" spans="1:12" ht="12.75" customHeight="1">
      <c r="A31" s="583"/>
      <c r="B31" s="584"/>
      <c r="C31" s="387"/>
      <c r="D31" s="614" t="s">
        <v>452</v>
      </c>
      <c r="E31" s="234">
        <v>0</v>
      </c>
      <c r="F31" s="235">
        <v>35</v>
      </c>
      <c r="G31" s="234">
        <v>31</v>
      </c>
      <c r="H31" s="932" t="s">
        <v>557</v>
      </c>
      <c r="I31" s="429">
        <f t="shared" si="6"/>
        <v>88.571428571428569</v>
      </c>
    </row>
    <row r="32" spans="1:12" ht="12.75" customHeight="1">
      <c r="A32" s="583"/>
      <c r="B32" s="584"/>
      <c r="C32" s="387"/>
      <c r="D32" s="614" t="s">
        <v>453</v>
      </c>
      <c r="E32" s="234">
        <v>2740</v>
      </c>
      <c r="F32" s="235">
        <v>2740</v>
      </c>
      <c r="G32" s="234">
        <v>2590</v>
      </c>
      <c r="H32" s="480">
        <f>G32/E32*100</f>
        <v>94.525547445255469</v>
      </c>
      <c r="I32" s="429">
        <f t="shared" si="6"/>
        <v>94.525547445255469</v>
      </c>
    </row>
    <row r="33" spans="1:9" ht="12.75" customHeight="1">
      <c r="A33" s="583"/>
      <c r="B33" s="584"/>
      <c r="C33" s="387"/>
      <c r="D33" s="614" t="s">
        <v>177</v>
      </c>
      <c r="E33" s="234">
        <v>15</v>
      </c>
      <c r="F33" s="235">
        <v>40</v>
      </c>
      <c r="G33" s="234">
        <v>17</v>
      </c>
      <c r="H33" s="480">
        <f>G33/E33*100</f>
        <v>113.33333333333333</v>
      </c>
      <c r="I33" s="429">
        <f t="shared" si="6"/>
        <v>42.5</v>
      </c>
    </row>
    <row r="34" spans="1:9" ht="12.75" customHeight="1">
      <c r="A34" s="583"/>
      <c r="B34" s="584"/>
      <c r="C34" s="387"/>
      <c r="D34" s="614" t="s">
        <v>178</v>
      </c>
      <c r="E34" s="234">
        <v>1363</v>
      </c>
      <c r="F34" s="235">
        <v>1363</v>
      </c>
      <c r="G34" s="234">
        <v>1305</v>
      </c>
      <c r="H34" s="480">
        <f>G34/E34*100</f>
        <v>95.744680851063833</v>
      </c>
      <c r="I34" s="429">
        <f t="shared" si="6"/>
        <v>95.744680851063833</v>
      </c>
    </row>
    <row r="35" spans="1:9" ht="12.75" customHeight="1">
      <c r="A35" s="583"/>
      <c r="B35" s="584"/>
      <c r="C35" s="376" t="s">
        <v>173</v>
      </c>
      <c r="D35" s="614" t="s">
        <v>184</v>
      </c>
      <c r="E35" s="234">
        <v>84</v>
      </c>
      <c r="F35" s="235">
        <v>84</v>
      </c>
      <c r="G35" s="234">
        <v>43</v>
      </c>
      <c r="H35" s="480">
        <f>G35/E35*100</f>
        <v>51.19047619047619</v>
      </c>
      <c r="I35" s="429">
        <f t="shared" si="6"/>
        <v>51.19047619047619</v>
      </c>
    </row>
    <row r="36" spans="1:9" ht="12.75" customHeight="1">
      <c r="A36" s="583"/>
      <c r="B36" s="615" t="s">
        <v>234</v>
      </c>
      <c r="C36" s="376" t="s">
        <v>247</v>
      </c>
      <c r="D36" s="614" t="s">
        <v>211</v>
      </c>
      <c r="E36" s="524">
        <v>80</v>
      </c>
      <c r="F36" s="479">
        <v>80</v>
      </c>
      <c r="G36" s="234">
        <v>79</v>
      </c>
      <c r="H36" s="480">
        <f>G36/E36*100</f>
        <v>98.75</v>
      </c>
      <c r="I36" s="429">
        <f t="shared" si="6"/>
        <v>98.75</v>
      </c>
    </row>
    <row r="37" spans="1:9" ht="12.75" customHeight="1">
      <c r="A37" s="583"/>
      <c r="B37" s="615"/>
      <c r="C37" s="376"/>
      <c r="D37" s="614"/>
      <c r="E37" s="524"/>
      <c r="F37" s="479"/>
      <c r="G37" s="234"/>
      <c r="H37" s="480"/>
      <c r="I37" s="429"/>
    </row>
    <row r="38" spans="1:9" ht="12.75" customHeight="1">
      <c r="A38" s="583"/>
      <c r="B38" s="584"/>
      <c r="C38" s="387"/>
      <c r="D38" s="582" t="s">
        <v>549</v>
      </c>
      <c r="E38" s="216">
        <v>0</v>
      </c>
      <c r="F38" s="217">
        <v>3016.9</v>
      </c>
      <c r="G38" s="216">
        <v>2150</v>
      </c>
      <c r="H38" s="933" t="s">
        <v>557</v>
      </c>
      <c r="I38" s="474">
        <f t="shared" si="6"/>
        <v>71.265206006165272</v>
      </c>
    </row>
    <row r="39" spans="1:9" ht="12.75" customHeight="1">
      <c r="A39" s="583"/>
      <c r="B39" s="584"/>
      <c r="C39" s="387"/>
      <c r="D39" s="582"/>
      <c r="E39" s="216"/>
      <c r="F39" s="217"/>
      <c r="G39" s="216"/>
      <c r="H39" s="933"/>
      <c r="I39" s="474"/>
    </row>
    <row r="40" spans="1:9" ht="12.75" customHeight="1">
      <c r="A40" s="583"/>
      <c r="B40" s="584"/>
      <c r="C40" s="387"/>
      <c r="D40" s="582" t="s">
        <v>551</v>
      </c>
      <c r="E40" s="216">
        <f>E41</f>
        <v>0</v>
      </c>
      <c r="F40" s="217">
        <f t="shared" ref="F40:G40" si="7">F41</f>
        <v>66.400000000000006</v>
      </c>
      <c r="G40" s="216">
        <f t="shared" si="7"/>
        <v>66</v>
      </c>
      <c r="H40" s="933" t="s">
        <v>557</v>
      </c>
      <c r="I40" s="474">
        <f t="shared" ref="I40:I41" si="8">G40/F40*100</f>
        <v>99.397590361445779</v>
      </c>
    </row>
    <row r="41" spans="1:9" ht="12.75" customHeight="1">
      <c r="A41" s="583"/>
      <c r="B41" s="617"/>
      <c r="C41" s="376" t="s">
        <v>550</v>
      </c>
      <c r="D41" s="614" t="s">
        <v>172</v>
      </c>
      <c r="E41" s="234">
        <v>0</v>
      </c>
      <c r="F41" s="235">
        <v>66.400000000000006</v>
      </c>
      <c r="G41" s="234">
        <v>66</v>
      </c>
      <c r="H41" s="932" t="s">
        <v>557</v>
      </c>
      <c r="I41" s="429">
        <f t="shared" si="8"/>
        <v>99.397590361445779</v>
      </c>
    </row>
    <row r="42" spans="1:9" ht="15" customHeight="1">
      <c r="A42" s="581" t="s">
        <v>454</v>
      </c>
      <c r="B42" s="587" t="s">
        <v>450</v>
      </c>
      <c r="C42" s="587"/>
      <c r="D42" s="614"/>
      <c r="E42" s="524"/>
      <c r="F42" s="479"/>
      <c r="G42" s="234"/>
      <c r="H42" s="480"/>
      <c r="I42" s="429"/>
    </row>
    <row r="43" spans="1:9" ht="12.75" customHeight="1">
      <c r="A43" s="583"/>
      <c r="B43" s="615"/>
      <c r="C43" s="587"/>
      <c r="D43" s="582" t="s">
        <v>170</v>
      </c>
      <c r="E43" s="216">
        <f>SUM(E44:E44)</f>
        <v>0</v>
      </c>
      <c r="F43" s="217">
        <f>F44</f>
        <v>3303.4</v>
      </c>
      <c r="G43" s="216">
        <f>SUM(G44:G44)</f>
        <v>1436</v>
      </c>
      <c r="H43" s="933" t="s">
        <v>557</v>
      </c>
      <c r="I43" s="474">
        <f t="shared" si="1"/>
        <v>43.470363867530423</v>
      </c>
    </row>
    <row r="44" spans="1:9" ht="12.75" customHeight="1">
      <c r="A44" s="583"/>
      <c r="B44" s="617"/>
      <c r="C44" s="585" t="s">
        <v>286</v>
      </c>
      <c r="D44" s="526"/>
      <c r="E44" s="524">
        <v>0</v>
      </c>
      <c r="F44" s="479">
        <v>3303.4</v>
      </c>
      <c r="G44" s="524">
        <v>1436</v>
      </c>
      <c r="H44" s="932" t="s">
        <v>557</v>
      </c>
      <c r="I44" s="474">
        <f t="shared" si="1"/>
        <v>43.470363867530423</v>
      </c>
    </row>
    <row r="45" spans="1:9" ht="12.75" customHeight="1">
      <c r="A45" s="583"/>
      <c r="B45" s="584"/>
      <c r="C45" s="376"/>
      <c r="D45" s="614"/>
      <c r="E45" s="524"/>
      <c r="F45" s="479"/>
      <c r="G45" s="234"/>
      <c r="H45" s="480"/>
      <c r="I45" s="429"/>
    </row>
    <row r="46" spans="1:9" ht="15" customHeight="1">
      <c r="A46" s="581" t="s">
        <v>310</v>
      </c>
      <c r="B46" s="1017" t="s">
        <v>309</v>
      </c>
      <c r="C46" s="1018"/>
      <c r="D46" s="582" t="s">
        <v>170</v>
      </c>
      <c r="E46" s="216">
        <f>E47+E48</f>
        <v>250</v>
      </c>
      <c r="F46" s="217">
        <f>F47+F48</f>
        <v>250</v>
      </c>
      <c r="G46" s="216">
        <f>G47+G48</f>
        <v>186</v>
      </c>
      <c r="H46" s="473">
        <f t="shared" si="0"/>
        <v>74.400000000000006</v>
      </c>
      <c r="I46" s="474">
        <f t="shared" si="1"/>
        <v>74.400000000000006</v>
      </c>
    </row>
    <row r="47" spans="1:9" ht="12.75" customHeight="1">
      <c r="A47" s="583"/>
      <c r="B47" s="588"/>
      <c r="C47" s="376"/>
      <c r="D47" s="618" t="s">
        <v>105</v>
      </c>
      <c r="E47" s="234">
        <v>60</v>
      </c>
      <c r="F47" s="235">
        <v>60</v>
      </c>
      <c r="G47" s="234">
        <v>8</v>
      </c>
      <c r="H47" s="480">
        <f t="shared" si="0"/>
        <v>13.333333333333334</v>
      </c>
      <c r="I47" s="429">
        <f t="shared" si="1"/>
        <v>13.333333333333334</v>
      </c>
    </row>
    <row r="48" spans="1:9" ht="12.75" customHeight="1" thickBot="1">
      <c r="A48" s="589"/>
      <c r="B48" s="619" t="s">
        <v>215</v>
      </c>
      <c r="C48" s="620" t="s">
        <v>284</v>
      </c>
      <c r="D48" s="590" t="s">
        <v>186</v>
      </c>
      <c r="E48" s="621">
        <v>190</v>
      </c>
      <c r="F48" s="622">
        <v>190</v>
      </c>
      <c r="G48" s="623">
        <v>178</v>
      </c>
      <c r="H48" s="591">
        <f>G48/E48*100</f>
        <v>93.684210526315795</v>
      </c>
      <c r="I48" s="592">
        <f t="shared" si="1"/>
        <v>93.684210526315795</v>
      </c>
    </row>
    <row r="49" spans="1:9" ht="12.75" customHeight="1">
      <c r="A49" s="88"/>
      <c r="B49" s="624"/>
      <c r="C49" s="89"/>
      <c r="D49" s="625"/>
      <c r="E49" s="626"/>
      <c r="F49" s="128"/>
      <c r="G49" s="627"/>
    </row>
    <row r="50" spans="1:9" ht="12.75" customHeight="1">
      <c r="A50" s="88"/>
      <c r="B50" s="624"/>
      <c r="C50" s="89"/>
      <c r="D50" s="625"/>
      <c r="E50" s="626"/>
      <c r="F50" s="128"/>
      <c r="G50" s="627"/>
    </row>
    <row r="51" spans="1:9" ht="12.75" customHeight="1" thickBot="1">
      <c r="A51" s="88"/>
      <c r="B51" s="624"/>
      <c r="C51" s="89"/>
      <c r="D51" s="625"/>
      <c r="E51" s="626"/>
      <c r="F51" s="128"/>
      <c r="G51" s="628"/>
      <c r="I51" s="628" t="s">
        <v>509</v>
      </c>
    </row>
    <row r="52" spans="1:9" ht="12.75" customHeight="1">
      <c r="A52" s="90" t="s">
        <v>1</v>
      </c>
      <c r="B52" s="91" t="s">
        <v>2</v>
      </c>
      <c r="C52" s="92" t="s">
        <v>3</v>
      </c>
      <c r="D52" s="93"/>
      <c r="E52" s="64" t="s">
        <v>332</v>
      </c>
      <c r="F52" s="94" t="s">
        <v>320</v>
      </c>
      <c r="G52" s="65" t="s">
        <v>314</v>
      </c>
      <c r="H52" s="65" t="s">
        <v>333</v>
      </c>
      <c r="I52" s="66" t="s">
        <v>333</v>
      </c>
    </row>
    <row r="53" spans="1:9" ht="12.75" customHeight="1">
      <c r="A53" s="95" t="s">
        <v>5</v>
      </c>
      <c r="B53" s="96" t="s">
        <v>6</v>
      </c>
      <c r="C53" s="97" t="s">
        <v>7</v>
      </c>
      <c r="D53" s="98" t="s">
        <v>8</v>
      </c>
      <c r="E53" s="71" t="s">
        <v>319</v>
      </c>
      <c r="F53" s="99" t="s">
        <v>321</v>
      </c>
      <c r="G53" s="72" t="s">
        <v>315</v>
      </c>
      <c r="H53" s="72" t="s">
        <v>317</v>
      </c>
      <c r="I53" s="73" t="s">
        <v>318</v>
      </c>
    </row>
    <row r="54" spans="1:9" ht="12.75" customHeight="1" thickBot="1">
      <c r="A54" s="24" t="s">
        <v>9</v>
      </c>
      <c r="B54" s="25" t="s">
        <v>10</v>
      </c>
      <c r="C54" s="26"/>
      <c r="D54" s="27"/>
      <c r="E54" s="78" t="s">
        <v>291</v>
      </c>
      <c r="F54" s="100" t="str">
        <f>Kap.01!F14</f>
        <v>k 31.12.2019</v>
      </c>
      <c r="G54" s="79">
        <f>Kap.01!G14</f>
        <v>43830</v>
      </c>
      <c r="H54" s="80"/>
      <c r="I54" s="81"/>
    </row>
    <row r="55" spans="1:9" ht="15" customHeight="1">
      <c r="A55" s="581" t="s">
        <v>214</v>
      </c>
      <c r="B55" s="208" t="s">
        <v>148</v>
      </c>
      <c r="C55" s="208"/>
      <c r="D55" s="208"/>
      <c r="E55" s="216">
        <f>E56+E59</f>
        <v>48014</v>
      </c>
      <c r="F55" s="217">
        <f>F56+F59+F86</f>
        <v>49313.4</v>
      </c>
      <c r="G55" s="216">
        <f>G56+G59+G86</f>
        <v>42722</v>
      </c>
      <c r="H55" s="209">
        <f t="shared" ref="H55:H96" si="9">G55/E55*100</f>
        <v>88.978214687382845</v>
      </c>
      <c r="I55" s="210">
        <f t="shared" ref="I55:I96" si="10">G55/F55*100</f>
        <v>86.633653327493136</v>
      </c>
    </row>
    <row r="56" spans="1:9" ht="12.75" customHeight="1">
      <c r="A56" s="581"/>
      <c r="B56" s="208"/>
      <c r="C56" s="208"/>
      <c r="D56" s="208" t="s">
        <v>170</v>
      </c>
      <c r="E56" s="216">
        <f>E57+E58</f>
        <v>1000</v>
      </c>
      <c r="F56" s="217">
        <f>F57+F58</f>
        <v>1000</v>
      </c>
      <c r="G56" s="216">
        <f>G57+G58</f>
        <v>158</v>
      </c>
      <c r="H56" s="209">
        <f t="shared" si="9"/>
        <v>15.8</v>
      </c>
      <c r="I56" s="210">
        <f t="shared" si="10"/>
        <v>15.8</v>
      </c>
    </row>
    <row r="57" spans="1:9" ht="12.75" customHeight="1">
      <c r="A57" s="581"/>
      <c r="B57" s="402">
        <v>931</v>
      </c>
      <c r="C57" s="208"/>
      <c r="D57" s="477" t="s">
        <v>121</v>
      </c>
      <c r="E57" s="234">
        <v>800</v>
      </c>
      <c r="F57" s="235">
        <v>800</v>
      </c>
      <c r="G57" s="234">
        <v>39</v>
      </c>
      <c r="H57" s="500">
        <f t="shared" si="9"/>
        <v>4.875</v>
      </c>
      <c r="I57" s="510">
        <f t="shared" si="10"/>
        <v>4.875</v>
      </c>
    </row>
    <row r="58" spans="1:9" ht="12.75" customHeight="1">
      <c r="A58" s="581"/>
      <c r="B58" s="402">
        <v>931</v>
      </c>
      <c r="C58" s="208"/>
      <c r="D58" s="387" t="s">
        <v>105</v>
      </c>
      <c r="E58" s="234">
        <v>200</v>
      </c>
      <c r="F58" s="235">
        <v>200</v>
      </c>
      <c r="G58" s="234">
        <v>119</v>
      </c>
      <c r="H58" s="500">
        <f t="shared" si="9"/>
        <v>59.5</v>
      </c>
      <c r="I58" s="510">
        <f t="shared" si="10"/>
        <v>59.5</v>
      </c>
    </row>
    <row r="59" spans="1:9" ht="12.75" customHeight="1">
      <c r="A59" s="593"/>
      <c r="B59" s="594"/>
      <c r="C59" s="208" t="s">
        <v>219</v>
      </c>
      <c r="D59" s="208" t="s">
        <v>170</v>
      </c>
      <c r="E59" s="216">
        <f>SUM(E60:E85)</f>
        <v>47014</v>
      </c>
      <c r="F59" s="217">
        <f>SUM(F60:F85)</f>
        <v>47713.4</v>
      </c>
      <c r="G59" s="216">
        <f>SUM(G60:G85)</f>
        <v>41989</v>
      </c>
      <c r="H59" s="209">
        <f t="shared" si="9"/>
        <v>89.311694388905423</v>
      </c>
      <c r="I59" s="210">
        <f t="shared" si="10"/>
        <v>88.00253178352412</v>
      </c>
    </row>
    <row r="60" spans="1:9" ht="12.75" customHeight="1">
      <c r="A60" s="583"/>
      <c r="B60" s="588"/>
      <c r="C60" s="387" t="s">
        <v>115</v>
      </c>
      <c r="D60" s="376" t="s">
        <v>187</v>
      </c>
      <c r="E60" s="234">
        <v>15</v>
      </c>
      <c r="F60" s="235">
        <v>18</v>
      </c>
      <c r="G60" s="234">
        <v>15</v>
      </c>
      <c r="H60" s="500">
        <f t="shared" si="9"/>
        <v>100</v>
      </c>
      <c r="I60" s="510">
        <f t="shared" si="10"/>
        <v>83.333333333333343</v>
      </c>
    </row>
    <row r="61" spans="1:9" ht="12.75" customHeight="1">
      <c r="A61" s="583"/>
      <c r="B61" s="588"/>
      <c r="C61" s="387" t="s">
        <v>115</v>
      </c>
      <c r="D61" s="376" t="s">
        <v>116</v>
      </c>
      <c r="E61" s="234">
        <v>100</v>
      </c>
      <c r="F61" s="235">
        <v>100</v>
      </c>
      <c r="G61" s="234">
        <v>75</v>
      </c>
      <c r="H61" s="500">
        <f t="shared" si="9"/>
        <v>75</v>
      </c>
      <c r="I61" s="510">
        <f t="shared" si="10"/>
        <v>75</v>
      </c>
    </row>
    <row r="62" spans="1:9" ht="12.75" customHeight="1">
      <c r="A62" s="583"/>
      <c r="B62" s="588"/>
      <c r="C62" s="387" t="s">
        <v>115</v>
      </c>
      <c r="D62" s="376" t="s">
        <v>155</v>
      </c>
      <c r="E62" s="234">
        <v>600</v>
      </c>
      <c r="F62" s="235">
        <v>900</v>
      </c>
      <c r="G62" s="234">
        <v>822</v>
      </c>
      <c r="H62" s="500">
        <f t="shared" si="9"/>
        <v>137</v>
      </c>
      <c r="I62" s="510">
        <f t="shared" si="10"/>
        <v>91.333333333333329</v>
      </c>
    </row>
    <row r="63" spans="1:9" ht="12.75" customHeight="1">
      <c r="A63" s="583"/>
      <c r="B63" s="588"/>
      <c r="C63" s="387"/>
      <c r="D63" s="376" t="s">
        <v>156</v>
      </c>
      <c r="E63" s="234">
        <v>3600</v>
      </c>
      <c r="F63" s="235">
        <v>3542</v>
      </c>
      <c r="G63" s="234">
        <v>2873</v>
      </c>
      <c r="H63" s="500">
        <f t="shared" si="9"/>
        <v>79.805555555555557</v>
      </c>
      <c r="I63" s="510">
        <f t="shared" si="10"/>
        <v>81.112365894974587</v>
      </c>
    </row>
    <row r="64" spans="1:9" ht="12.75" customHeight="1">
      <c r="A64" s="583"/>
      <c r="B64" s="588"/>
      <c r="C64" s="387"/>
      <c r="D64" s="376" t="s">
        <v>188</v>
      </c>
      <c r="E64" s="234">
        <v>1</v>
      </c>
      <c r="F64" s="235">
        <v>1</v>
      </c>
      <c r="G64" s="234">
        <v>0</v>
      </c>
      <c r="H64" s="500">
        <f t="shared" si="9"/>
        <v>0</v>
      </c>
      <c r="I64" s="510">
        <f t="shared" si="10"/>
        <v>0</v>
      </c>
    </row>
    <row r="65" spans="1:10" ht="12.75" customHeight="1">
      <c r="A65" s="583"/>
      <c r="B65" s="588"/>
      <c r="C65" s="387"/>
      <c r="D65" s="376" t="s">
        <v>189</v>
      </c>
      <c r="E65" s="234">
        <v>900</v>
      </c>
      <c r="F65" s="235">
        <v>929.4</v>
      </c>
      <c r="G65" s="234">
        <v>716</v>
      </c>
      <c r="H65" s="500">
        <f t="shared" si="9"/>
        <v>79.555555555555557</v>
      </c>
      <c r="I65" s="510">
        <f t="shared" si="10"/>
        <v>77.038949860124816</v>
      </c>
    </row>
    <row r="66" spans="1:10" ht="12.75" customHeight="1">
      <c r="A66" s="583"/>
      <c r="B66" s="588"/>
      <c r="C66" s="387"/>
      <c r="D66" s="376" t="s">
        <v>190</v>
      </c>
      <c r="E66" s="234">
        <v>400</v>
      </c>
      <c r="F66" s="235">
        <v>400</v>
      </c>
      <c r="G66" s="234">
        <v>374</v>
      </c>
      <c r="H66" s="500">
        <f t="shared" si="9"/>
        <v>93.5</v>
      </c>
      <c r="I66" s="510">
        <f t="shared" si="10"/>
        <v>93.5</v>
      </c>
    </row>
    <row r="67" spans="1:10" ht="12.75" customHeight="1">
      <c r="A67" s="583"/>
      <c r="B67" s="588"/>
      <c r="C67" s="387"/>
      <c r="D67" s="376" t="s">
        <v>191</v>
      </c>
      <c r="E67" s="234">
        <v>3500</v>
      </c>
      <c r="F67" s="235">
        <v>3200</v>
      </c>
      <c r="G67" s="234">
        <v>2428</v>
      </c>
      <c r="H67" s="500">
        <f t="shared" si="9"/>
        <v>69.371428571428567</v>
      </c>
      <c r="I67" s="510">
        <f t="shared" si="10"/>
        <v>75.875</v>
      </c>
    </row>
    <row r="68" spans="1:10" ht="12.75" customHeight="1">
      <c r="A68" s="583"/>
      <c r="B68" s="588"/>
      <c r="C68" s="387"/>
      <c r="D68" s="376" t="s">
        <v>161</v>
      </c>
      <c r="E68" s="234">
        <v>4500</v>
      </c>
      <c r="F68" s="235">
        <v>4760</v>
      </c>
      <c r="G68" s="234">
        <v>3782</v>
      </c>
      <c r="H68" s="500">
        <f t="shared" si="9"/>
        <v>84.044444444444437</v>
      </c>
      <c r="I68" s="510">
        <f t="shared" si="10"/>
        <v>79.453781512605033</v>
      </c>
    </row>
    <row r="69" spans="1:10" ht="12.75" customHeight="1">
      <c r="A69" s="583"/>
      <c r="B69" s="588"/>
      <c r="C69" s="387"/>
      <c r="D69" s="376" t="s">
        <v>192</v>
      </c>
      <c r="E69" s="234">
        <v>400</v>
      </c>
      <c r="F69" s="235">
        <v>470</v>
      </c>
      <c r="G69" s="234">
        <v>265</v>
      </c>
      <c r="H69" s="500">
        <f t="shared" si="9"/>
        <v>66.25</v>
      </c>
      <c r="I69" s="510">
        <f t="shared" si="10"/>
        <v>56.38297872340425</v>
      </c>
    </row>
    <row r="70" spans="1:10" ht="12.75" customHeight="1">
      <c r="A70" s="583"/>
      <c r="B70" s="588"/>
      <c r="C70" s="387"/>
      <c r="D70" s="376" t="s">
        <v>193</v>
      </c>
      <c r="E70" s="234">
        <v>3800</v>
      </c>
      <c r="F70" s="235">
        <v>3830</v>
      </c>
      <c r="G70" s="234">
        <v>3416</v>
      </c>
      <c r="H70" s="500">
        <f t="shared" si="9"/>
        <v>89.89473684210526</v>
      </c>
      <c r="I70" s="510">
        <f t="shared" si="10"/>
        <v>89.190600522193208</v>
      </c>
    </row>
    <row r="71" spans="1:10" ht="12.75" customHeight="1">
      <c r="A71" s="583"/>
      <c r="B71" s="588"/>
      <c r="C71" s="387"/>
      <c r="D71" s="376" t="s">
        <v>194</v>
      </c>
      <c r="E71" s="234">
        <v>900</v>
      </c>
      <c r="F71" s="235">
        <v>960</v>
      </c>
      <c r="G71" s="234">
        <v>736</v>
      </c>
      <c r="H71" s="500">
        <f t="shared" si="9"/>
        <v>81.777777777777786</v>
      </c>
      <c r="I71" s="510">
        <f t="shared" si="10"/>
        <v>76.666666666666671</v>
      </c>
    </row>
    <row r="72" spans="1:10" ht="12.75" customHeight="1">
      <c r="A72" s="583"/>
      <c r="B72" s="588"/>
      <c r="C72" s="387"/>
      <c r="D72" s="376" t="s">
        <v>108</v>
      </c>
      <c r="E72" s="234">
        <v>400</v>
      </c>
      <c r="F72" s="235">
        <v>405</v>
      </c>
      <c r="G72" s="234">
        <v>339</v>
      </c>
      <c r="H72" s="500">
        <f t="shared" si="9"/>
        <v>84.75</v>
      </c>
      <c r="I72" s="510">
        <f t="shared" si="10"/>
        <v>83.703703703703695</v>
      </c>
    </row>
    <row r="73" spans="1:10" ht="12.75" customHeight="1">
      <c r="A73" s="583"/>
      <c r="B73" s="588"/>
      <c r="C73" s="376"/>
      <c r="D73" s="376" t="s">
        <v>157</v>
      </c>
      <c r="E73" s="234">
        <v>150</v>
      </c>
      <c r="F73" s="235">
        <v>150</v>
      </c>
      <c r="G73" s="234">
        <v>92</v>
      </c>
      <c r="H73" s="500">
        <f t="shared" si="9"/>
        <v>61.333333333333329</v>
      </c>
      <c r="I73" s="510">
        <f t="shared" si="10"/>
        <v>61.333333333333329</v>
      </c>
    </row>
    <row r="74" spans="1:10" ht="12.75" customHeight="1">
      <c r="A74" s="583"/>
      <c r="B74" s="588"/>
      <c r="C74" s="376"/>
      <c r="D74" s="376" t="s">
        <v>121</v>
      </c>
      <c r="E74" s="234">
        <v>200</v>
      </c>
      <c r="F74" s="235">
        <v>200</v>
      </c>
      <c r="G74" s="234">
        <v>79</v>
      </c>
      <c r="H74" s="500">
        <f t="shared" si="9"/>
        <v>39.5</v>
      </c>
      <c r="I74" s="510">
        <f t="shared" si="10"/>
        <v>39.5</v>
      </c>
    </row>
    <row r="75" spans="1:10" ht="12.75" customHeight="1">
      <c r="A75" s="583"/>
      <c r="B75" s="588"/>
      <c r="C75" s="376"/>
      <c r="D75" s="376" t="s">
        <v>105</v>
      </c>
      <c r="E75" s="234">
        <f>14000</f>
        <v>14000</v>
      </c>
      <c r="F75" s="235">
        <v>13600</v>
      </c>
      <c r="G75" s="234">
        <v>13448</v>
      </c>
      <c r="H75" s="500">
        <f t="shared" si="9"/>
        <v>96.05714285714285</v>
      </c>
      <c r="I75" s="510">
        <f t="shared" si="10"/>
        <v>98.882352941176464</v>
      </c>
    </row>
    <row r="76" spans="1:10" ht="12.75" customHeight="1">
      <c r="A76" s="583"/>
      <c r="B76" s="588"/>
      <c r="C76" s="376" t="s">
        <v>173</v>
      </c>
      <c r="D76" s="376" t="s">
        <v>195</v>
      </c>
      <c r="E76" s="234">
        <v>3000</v>
      </c>
      <c r="F76" s="235">
        <v>3000</v>
      </c>
      <c r="G76" s="234">
        <v>2511</v>
      </c>
      <c r="H76" s="500">
        <f t="shared" si="9"/>
        <v>83.7</v>
      </c>
      <c r="I76" s="510">
        <f t="shared" si="10"/>
        <v>83.7</v>
      </c>
      <c r="J76" s="533"/>
    </row>
    <row r="77" spans="1:10" ht="12.75" customHeight="1">
      <c r="A77" s="583"/>
      <c r="B77" s="588"/>
      <c r="C77" s="376"/>
      <c r="D77" s="376" t="s">
        <v>158</v>
      </c>
      <c r="E77" s="234">
        <v>10000</v>
      </c>
      <c r="F77" s="235">
        <v>10700</v>
      </c>
      <c r="G77" s="234">
        <v>9767</v>
      </c>
      <c r="H77" s="500">
        <f t="shared" si="9"/>
        <v>97.67</v>
      </c>
      <c r="I77" s="510">
        <f t="shared" si="10"/>
        <v>91.280373831775691</v>
      </c>
      <c r="J77" s="533"/>
    </row>
    <row r="78" spans="1:10" ht="12.75" customHeight="1">
      <c r="A78" s="583"/>
      <c r="B78" s="588"/>
      <c r="C78" s="376"/>
      <c r="D78" s="376" t="s">
        <v>196</v>
      </c>
      <c r="E78" s="234">
        <v>200</v>
      </c>
      <c r="F78" s="235">
        <v>200</v>
      </c>
      <c r="G78" s="234">
        <v>37</v>
      </c>
      <c r="H78" s="500">
        <f t="shared" si="9"/>
        <v>18.5</v>
      </c>
      <c r="I78" s="510">
        <f t="shared" si="10"/>
        <v>18.5</v>
      </c>
    </row>
    <row r="79" spans="1:10" ht="12.75" customHeight="1">
      <c r="A79" s="583"/>
      <c r="B79" s="588"/>
      <c r="C79" s="376"/>
      <c r="D79" s="376" t="s">
        <v>197</v>
      </c>
      <c r="E79" s="234">
        <v>260</v>
      </c>
      <c r="F79" s="235">
        <v>260</v>
      </c>
      <c r="G79" s="234">
        <v>202</v>
      </c>
      <c r="H79" s="500">
        <f t="shared" si="9"/>
        <v>77.692307692307693</v>
      </c>
      <c r="I79" s="510">
        <f t="shared" si="10"/>
        <v>77.692307692307693</v>
      </c>
    </row>
    <row r="80" spans="1:10" ht="12.75" customHeight="1">
      <c r="A80" s="583"/>
      <c r="B80" s="588"/>
      <c r="C80" s="376"/>
      <c r="D80" s="376" t="s">
        <v>198</v>
      </c>
      <c r="E80" s="234">
        <v>5</v>
      </c>
      <c r="F80" s="235">
        <v>5</v>
      </c>
      <c r="G80" s="234">
        <v>0</v>
      </c>
      <c r="H80" s="500">
        <f t="shared" si="9"/>
        <v>0</v>
      </c>
      <c r="I80" s="510">
        <f t="shared" si="10"/>
        <v>0</v>
      </c>
    </row>
    <row r="81" spans="1:9" ht="12.75" customHeight="1">
      <c r="A81" s="583"/>
      <c r="B81" s="588"/>
      <c r="C81" s="376" t="s">
        <v>199</v>
      </c>
      <c r="D81" s="376" t="s">
        <v>200</v>
      </c>
      <c r="E81" s="234">
        <v>30</v>
      </c>
      <c r="F81" s="235">
        <v>30</v>
      </c>
      <c r="G81" s="234">
        <v>0</v>
      </c>
      <c r="H81" s="500">
        <f t="shared" si="9"/>
        <v>0</v>
      </c>
      <c r="I81" s="510">
        <f t="shared" si="10"/>
        <v>0</v>
      </c>
    </row>
    <row r="82" spans="1:9" ht="12.75" customHeight="1">
      <c r="A82" s="583"/>
      <c r="B82" s="588"/>
      <c r="C82" s="376"/>
      <c r="D82" s="376" t="s">
        <v>117</v>
      </c>
      <c r="E82" s="234">
        <v>2</v>
      </c>
      <c r="F82" s="235">
        <v>2</v>
      </c>
      <c r="G82" s="234">
        <v>0</v>
      </c>
      <c r="H82" s="500">
        <f t="shared" si="9"/>
        <v>0</v>
      </c>
      <c r="I82" s="510">
        <f t="shared" si="10"/>
        <v>0</v>
      </c>
    </row>
    <row r="83" spans="1:9" ht="12.75" customHeight="1">
      <c r="A83" s="583"/>
      <c r="B83" s="588"/>
      <c r="C83" s="376"/>
      <c r="D83" s="629" t="s">
        <v>201</v>
      </c>
      <c r="E83" s="234">
        <v>20</v>
      </c>
      <c r="F83" s="235">
        <v>20</v>
      </c>
      <c r="G83" s="234">
        <v>0</v>
      </c>
      <c r="H83" s="500">
        <f t="shared" si="9"/>
        <v>0</v>
      </c>
      <c r="I83" s="510">
        <f t="shared" si="10"/>
        <v>0</v>
      </c>
    </row>
    <row r="84" spans="1:9" ht="12.75" customHeight="1">
      <c r="A84" s="583"/>
      <c r="B84" s="588"/>
      <c r="C84" s="376"/>
      <c r="D84" s="629" t="s">
        <v>202</v>
      </c>
      <c r="E84" s="234">
        <v>30</v>
      </c>
      <c r="F84" s="235">
        <v>30</v>
      </c>
      <c r="G84" s="234">
        <v>12</v>
      </c>
      <c r="H84" s="500">
        <f t="shared" si="9"/>
        <v>40</v>
      </c>
      <c r="I84" s="510">
        <f t="shared" si="10"/>
        <v>40</v>
      </c>
    </row>
    <row r="85" spans="1:9" ht="12.75" customHeight="1">
      <c r="A85" s="583"/>
      <c r="B85" s="588"/>
      <c r="C85" s="376"/>
      <c r="D85" s="376" t="s">
        <v>203</v>
      </c>
      <c r="E85" s="234">
        <v>1</v>
      </c>
      <c r="F85" s="235">
        <v>1</v>
      </c>
      <c r="G85" s="234">
        <v>0</v>
      </c>
      <c r="H85" s="500">
        <f t="shared" si="9"/>
        <v>0</v>
      </c>
      <c r="I85" s="510">
        <f t="shared" si="10"/>
        <v>0</v>
      </c>
    </row>
    <row r="86" spans="1:9" ht="12.75" customHeight="1">
      <c r="A86" s="583"/>
      <c r="B86" s="588"/>
      <c r="C86" s="376" t="s">
        <v>484</v>
      </c>
      <c r="D86" s="208" t="s">
        <v>485</v>
      </c>
      <c r="E86" s="216">
        <v>0</v>
      </c>
      <c r="F86" s="217">
        <v>600</v>
      </c>
      <c r="G86" s="216">
        <v>575</v>
      </c>
      <c r="H86" s="934" t="s">
        <v>557</v>
      </c>
      <c r="I86" s="210">
        <f t="shared" si="10"/>
        <v>95.833333333333343</v>
      </c>
    </row>
    <row r="87" spans="1:9" ht="12.75" customHeight="1">
      <c r="A87" s="583"/>
      <c r="B87" s="588"/>
      <c r="C87" s="376"/>
      <c r="D87" s="208"/>
      <c r="E87" s="216"/>
      <c r="F87" s="217"/>
      <c r="G87" s="216"/>
      <c r="H87" s="209"/>
      <c r="I87" s="210"/>
    </row>
    <row r="88" spans="1:9" ht="15" customHeight="1">
      <c r="A88" s="581" t="s">
        <v>298</v>
      </c>
      <c r="B88" s="208" t="s">
        <v>299</v>
      </c>
      <c r="C88" s="208"/>
      <c r="D88" s="208" t="s">
        <v>170</v>
      </c>
      <c r="E88" s="216">
        <f>SUM(E89:E98)</f>
        <v>29200</v>
      </c>
      <c r="F88" s="217">
        <f>SUM(F89:F98)</f>
        <v>27043.8</v>
      </c>
      <c r="G88" s="216">
        <f>SUM(G89:G98)</f>
        <v>26835</v>
      </c>
      <c r="H88" s="209">
        <f>G88/E88*100</f>
        <v>91.900684931506845</v>
      </c>
      <c r="I88" s="210">
        <f t="shared" si="10"/>
        <v>99.227919153373421</v>
      </c>
    </row>
    <row r="89" spans="1:9" ht="12.75" customHeight="1">
      <c r="A89" s="386"/>
      <c r="B89" s="402">
        <v>911</v>
      </c>
      <c r="C89" s="376"/>
      <c r="D89" s="376" t="s">
        <v>155</v>
      </c>
      <c r="E89" s="234">
        <v>3000</v>
      </c>
      <c r="F89" s="235">
        <v>3600</v>
      </c>
      <c r="G89" s="234">
        <v>3581</v>
      </c>
      <c r="H89" s="500">
        <f t="shared" si="9"/>
        <v>119.36666666666666</v>
      </c>
      <c r="I89" s="510">
        <f t="shared" si="10"/>
        <v>99.472222222222214</v>
      </c>
    </row>
    <row r="90" spans="1:9" ht="12.75" customHeight="1">
      <c r="A90" s="386"/>
      <c r="B90" s="402">
        <v>911</v>
      </c>
      <c r="C90" s="376"/>
      <c r="D90" s="376" t="s">
        <v>118</v>
      </c>
      <c r="E90" s="234">
        <v>300</v>
      </c>
      <c r="F90" s="235">
        <v>352</v>
      </c>
      <c r="G90" s="234">
        <v>343</v>
      </c>
      <c r="H90" s="500">
        <f t="shared" si="9"/>
        <v>114.33333333333333</v>
      </c>
      <c r="I90" s="510">
        <f t="shared" si="10"/>
        <v>97.443181818181827</v>
      </c>
    </row>
    <row r="91" spans="1:9" ht="12.75" customHeight="1">
      <c r="A91" s="583"/>
      <c r="B91" s="385" t="s">
        <v>215</v>
      </c>
      <c r="C91" s="387"/>
      <c r="D91" s="387" t="s">
        <v>105</v>
      </c>
      <c r="E91" s="376">
        <v>200</v>
      </c>
      <c r="F91" s="235">
        <v>160</v>
      </c>
      <c r="G91" s="234">
        <v>148</v>
      </c>
      <c r="H91" s="500">
        <f t="shared" si="9"/>
        <v>74</v>
      </c>
      <c r="I91" s="510">
        <f t="shared" si="10"/>
        <v>92.5</v>
      </c>
    </row>
    <row r="92" spans="1:9" ht="12.75" customHeight="1">
      <c r="A92" s="583"/>
      <c r="B92" s="385" t="s">
        <v>302</v>
      </c>
      <c r="C92" s="387" t="s">
        <v>300</v>
      </c>
      <c r="D92" s="387" t="s">
        <v>161</v>
      </c>
      <c r="E92" s="376">
        <v>400</v>
      </c>
      <c r="F92" s="235">
        <v>128</v>
      </c>
      <c r="G92" s="234">
        <v>124</v>
      </c>
      <c r="H92" s="500">
        <f t="shared" si="9"/>
        <v>31</v>
      </c>
      <c r="I92" s="510">
        <f t="shared" si="10"/>
        <v>96.875</v>
      </c>
    </row>
    <row r="93" spans="1:9" ht="12.75" customHeight="1">
      <c r="A93" s="386"/>
      <c r="B93" s="402">
        <v>911</v>
      </c>
      <c r="C93" s="376" t="s">
        <v>245</v>
      </c>
      <c r="D93" s="376" t="s">
        <v>194</v>
      </c>
      <c r="E93" s="234">
        <v>4300</v>
      </c>
      <c r="F93" s="235">
        <v>4210</v>
      </c>
      <c r="G93" s="234">
        <v>4203</v>
      </c>
      <c r="H93" s="500">
        <f t="shared" si="9"/>
        <v>97.744186046511629</v>
      </c>
      <c r="I93" s="510">
        <f t="shared" si="10"/>
        <v>99.833729216152022</v>
      </c>
    </row>
    <row r="94" spans="1:9" ht="12.75" customHeight="1">
      <c r="A94" s="386"/>
      <c r="B94" s="402">
        <v>911</v>
      </c>
      <c r="C94" s="376" t="s">
        <v>292</v>
      </c>
      <c r="D94" s="376" t="s">
        <v>121</v>
      </c>
      <c r="E94" s="234">
        <v>200</v>
      </c>
      <c r="F94" s="235">
        <v>160</v>
      </c>
      <c r="G94" s="234">
        <v>155</v>
      </c>
      <c r="H94" s="500">
        <f t="shared" si="9"/>
        <v>77.5</v>
      </c>
      <c r="I94" s="510">
        <f t="shared" si="10"/>
        <v>96.875</v>
      </c>
    </row>
    <row r="95" spans="1:9" ht="12.75" customHeight="1">
      <c r="A95" s="386"/>
      <c r="B95" s="402">
        <v>911</v>
      </c>
      <c r="C95" s="376" t="s">
        <v>246</v>
      </c>
      <c r="D95" s="376" t="s">
        <v>244</v>
      </c>
      <c r="E95" s="234">
        <v>18000</v>
      </c>
      <c r="F95" s="235">
        <v>17020</v>
      </c>
      <c r="G95" s="234">
        <v>16925</v>
      </c>
      <c r="H95" s="500">
        <f t="shared" si="9"/>
        <v>94.027777777777771</v>
      </c>
      <c r="I95" s="510">
        <f t="shared" si="10"/>
        <v>99.441833137485318</v>
      </c>
    </row>
    <row r="96" spans="1:9" ht="12.75" customHeight="1">
      <c r="A96" s="583"/>
      <c r="B96" s="385" t="s">
        <v>215</v>
      </c>
      <c r="C96" s="387" t="s">
        <v>243</v>
      </c>
      <c r="D96" s="387" t="s">
        <v>553</v>
      </c>
      <c r="E96" s="234">
        <v>2500</v>
      </c>
      <c r="F96" s="235">
        <v>870</v>
      </c>
      <c r="G96" s="234">
        <v>840</v>
      </c>
      <c r="H96" s="500">
        <f t="shared" si="9"/>
        <v>33.6</v>
      </c>
      <c r="I96" s="510">
        <f t="shared" si="10"/>
        <v>96.551724137931032</v>
      </c>
    </row>
    <row r="97" spans="1:9" ht="12.75" customHeight="1">
      <c r="A97" s="583"/>
      <c r="B97" s="385" t="s">
        <v>215</v>
      </c>
      <c r="C97" s="387" t="s">
        <v>301</v>
      </c>
      <c r="D97" s="376" t="s">
        <v>185</v>
      </c>
      <c r="E97" s="376">
        <v>300</v>
      </c>
      <c r="F97" s="235">
        <v>290</v>
      </c>
      <c r="G97" s="234">
        <v>262</v>
      </c>
      <c r="H97" s="500">
        <f t="shared" ref="H97" si="11">G97/E97*100</f>
        <v>87.333333333333329</v>
      </c>
      <c r="I97" s="510">
        <f t="shared" ref="I97:I98" si="12">G97/F97*100</f>
        <v>90.344827586206904</v>
      </c>
    </row>
    <row r="98" spans="1:9" ht="12.75" customHeight="1" thickBot="1">
      <c r="A98" s="630"/>
      <c r="B98" s="631"/>
      <c r="C98" s="632" t="s">
        <v>484</v>
      </c>
      <c r="D98" s="595" t="s">
        <v>485</v>
      </c>
      <c r="E98" s="633">
        <v>0</v>
      </c>
      <c r="F98" s="634">
        <v>253.8</v>
      </c>
      <c r="G98" s="633">
        <v>254</v>
      </c>
      <c r="H98" s="938" t="s">
        <v>557</v>
      </c>
      <c r="I98" s="596">
        <f t="shared" si="12"/>
        <v>100.07880220646177</v>
      </c>
    </row>
    <row r="99" spans="1:9" ht="12.75" customHeight="1">
      <c r="A99" s="28"/>
      <c r="B99" s="28"/>
      <c r="C99" s="635"/>
      <c r="D99" s="636"/>
      <c r="E99" s="636"/>
      <c r="F99" s="128"/>
      <c r="G99" s="637"/>
    </row>
    <row r="100" spans="1:9" s="638" customFormat="1" ht="12.75" customHeight="1">
      <c r="A100" s="28"/>
      <c r="B100" s="28"/>
      <c r="C100" s="635"/>
      <c r="D100" s="636"/>
      <c r="E100" s="636"/>
      <c r="F100" s="128"/>
      <c r="G100" s="637"/>
    </row>
    <row r="101" spans="1:9" s="638" customFormat="1" ht="12.75" customHeight="1" thickBot="1">
      <c r="A101" s="28"/>
      <c r="B101" s="28"/>
      <c r="C101" s="635"/>
      <c r="D101" s="636"/>
      <c r="E101" s="636"/>
      <c r="F101" s="128"/>
      <c r="G101" s="628"/>
      <c r="I101" s="628" t="s">
        <v>508</v>
      </c>
    </row>
    <row r="102" spans="1:9" s="638" customFormat="1" ht="12.75" customHeight="1">
      <c r="A102" s="90" t="s">
        <v>1</v>
      </c>
      <c r="B102" s="91" t="s">
        <v>2</v>
      </c>
      <c r="C102" s="92" t="s">
        <v>3</v>
      </c>
      <c r="D102" s="93"/>
      <c r="E102" s="64" t="s">
        <v>332</v>
      </c>
      <c r="F102" s="94" t="s">
        <v>320</v>
      </c>
      <c r="G102" s="65" t="s">
        <v>314</v>
      </c>
      <c r="H102" s="65" t="s">
        <v>333</v>
      </c>
      <c r="I102" s="66" t="s">
        <v>333</v>
      </c>
    </row>
    <row r="103" spans="1:9" s="638" customFormat="1" ht="12.75" customHeight="1">
      <c r="A103" s="95" t="s">
        <v>5</v>
      </c>
      <c r="B103" s="96" t="s">
        <v>6</v>
      </c>
      <c r="C103" s="97" t="s">
        <v>7</v>
      </c>
      <c r="D103" s="98" t="s">
        <v>8</v>
      </c>
      <c r="E103" s="71" t="s">
        <v>319</v>
      </c>
      <c r="F103" s="99" t="s">
        <v>321</v>
      </c>
      <c r="G103" s="72" t="s">
        <v>315</v>
      </c>
      <c r="H103" s="72" t="s">
        <v>317</v>
      </c>
      <c r="I103" s="73" t="s">
        <v>318</v>
      </c>
    </row>
    <row r="104" spans="1:9" s="638" customFormat="1" ht="12.75" customHeight="1" thickBot="1">
      <c r="A104" s="24" t="s">
        <v>9</v>
      </c>
      <c r="B104" s="25" t="s">
        <v>10</v>
      </c>
      <c r="C104" s="26"/>
      <c r="D104" s="27"/>
      <c r="E104" s="78" t="s">
        <v>291</v>
      </c>
      <c r="F104" s="100" t="str">
        <f>Kap.01!F14</f>
        <v>k 31.12.2019</v>
      </c>
      <c r="G104" s="79">
        <f>Kap.01!G14</f>
        <v>43830</v>
      </c>
      <c r="H104" s="80"/>
      <c r="I104" s="81"/>
    </row>
    <row r="105" spans="1:9" ht="15" customHeight="1">
      <c r="A105" s="597" t="s">
        <v>216</v>
      </c>
      <c r="B105" s="1027" t="s">
        <v>217</v>
      </c>
      <c r="C105" s="1028"/>
      <c r="D105" s="598" t="s">
        <v>170</v>
      </c>
      <c r="E105" s="599">
        <f>SUM(E106:E108)</f>
        <v>3400</v>
      </c>
      <c r="F105" s="600">
        <f>SUM(F106:F108)</f>
        <v>3745.3</v>
      </c>
      <c r="G105" s="599">
        <f>SUM(G106:G108)</f>
        <v>1417</v>
      </c>
      <c r="H105" s="209">
        <f t="shared" ref="H105:H109" si="13">G105/E105*100</f>
        <v>41.67647058823529</v>
      </c>
      <c r="I105" s="210">
        <f t="shared" ref="I105:I109" si="14">G105/F105*100</f>
        <v>37.834085387018398</v>
      </c>
    </row>
    <row r="106" spans="1:9" ht="12.75" customHeight="1">
      <c r="A106" s="583"/>
      <c r="B106" s="588"/>
      <c r="C106" s="387" t="s">
        <v>242</v>
      </c>
      <c r="D106" s="614" t="s">
        <v>121</v>
      </c>
      <c r="E106" s="639">
        <v>3000</v>
      </c>
      <c r="F106" s="640">
        <v>3000</v>
      </c>
      <c r="G106" s="641">
        <v>948</v>
      </c>
      <c r="H106" s="500">
        <f t="shared" si="13"/>
        <v>31.6</v>
      </c>
      <c r="I106" s="510">
        <f t="shared" si="14"/>
        <v>31.6</v>
      </c>
    </row>
    <row r="107" spans="1:9" ht="12.75" customHeight="1">
      <c r="A107" s="601"/>
      <c r="B107" s="602"/>
      <c r="C107" s="642" t="s">
        <v>279</v>
      </c>
      <c r="D107" s="614" t="s">
        <v>278</v>
      </c>
      <c r="E107" s="639">
        <v>200</v>
      </c>
      <c r="F107" s="640">
        <v>545.29999999999995</v>
      </c>
      <c r="G107" s="641">
        <v>449</v>
      </c>
      <c r="H107" s="500">
        <f t="shared" si="13"/>
        <v>224.5</v>
      </c>
      <c r="I107" s="510">
        <f t="shared" si="14"/>
        <v>82.339996332294149</v>
      </c>
    </row>
    <row r="108" spans="1:9" ht="12.75" customHeight="1" thickBot="1">
      <c r="A108" s="603"/>
      <c r="B108" s="604"/>
      <c r="C108" s="643" t="s">
        <v>281</v>
      </c>
      <c r="D108" s="644" t="s">
        <v>282</v>
      </c>
      <c r="E108" s="645">
        <v>200</v>
      </c>
      <c r="F108" s="646">
        <v>200</v>
      </c>
      <c r="G108" s="623">
        <v>20</v>
      </c>
      <c r="H108" s="605">
        <f t="shared" si="13"/>
        <v>10</v>
      </c>
      <c r="I108" s="606">
        <f t="shared" si="14"/>
        <v>10</v>
      </c>
    </row>
    <row r="109" spans="1:9" s="531" customFormat="1" ht="16.5" customHeight="1" thickBot="1">
      <c r="A109" s="1008" t="s">
        <v>16</v>
      </c>
      <c r="B109" s="1009"/>
      <c r="C109" s="1010"/>
      <c r="D109" s="607"/>
      <c r="E109" s="608">
        <f>E8+E46+E55+E88+E105+E43</f>
        <v>336632</v>
      </c>
      <c r="F109" s="609">
        <f>F8+F46+F55+F88+F105+F43</f>
        <v>361782.70000000007</v>
      </c>
      <c r="G109" s="608">
        <f>G8+G46+G55+G88+G105+G43</f>
        <v>309079</v>
      </c>
      <c r="H109" s="610">
        <f t="shared" si="13"/>
        <v>91.815097792247911</v>
      </c>
      <c r="I109" s="495">
        <f t="shared" si="14"/>
        <v>85.432222159876616</v>
      </c>
    </row>
    <row r="110" spans="1:9" s="638" customFormat="1">
      <c r="E110" s="647"/>
      <c r="F110" s="648"/>
    </row>
    <row r="111" spans="1:9" s="638" customFormat="1">
      <c r="E111" s="649"/>
      <c r="F111" s="649"/>
    </row>
    <row r="112" spans="1:9" ht="15.75" thickBot="1">
      <c r="F112" s="533"/>
    </row>
    <row r="113" spans="1:9">
      <c r="A113" s="90" t="s">
        <v>1</v>
      </c>
      <c r="B113" s="91" t="s">
        <v>2</v>
      </c>
      <c r="C113" s="92" t="s">
        <v>3</v>
      </c>
      <c r="D113" s="93"/>
      <c r="E113" s="64" t="s">
        <v>332</v>
      </c>
      <c r="F113" s="94" t="s">
        <v>320</v>
      </c>
      <c r="G113" s="65" t="s">
        <v>314</v>
      </c>
      <c r="H113" s="65" t="s">
        <v>333</v>
      </c>
      <c r="I113" s="66" t="s">
        <v>333</v>
      </c>
    </row>
    <row r="114" spans="1:9">
      <c r="A114" s="95" t="s">
        <v>5</v>
      </c>
      <c r="B114" s="96" t="s">
        <v>6</v>
      </c>
      <c r="C114" s="97" t="s">
        <v>7</v>
      </c>
      <c r="D114" s="98" t="s">
        <v>8</v>
      </c>
      <c r="E114" s="71" t="s">
        <v>319</v>
      </c>
      <c r="F114" s="99" t="s">
        <v>321</v>
      </c>
      <c r="G114" s="72" t="s">
        <v>315</v>
      </c>
      <c r="H114" s="72" t="s">
        <v>317</v>
      </c>
      <c r="I114" s="73" t="s">
        <v>318</v>
      </c>
    </row>
    <row r="115" spans="1:9" ht="15.75" thickBot="1">
      <c r="A115" s="24" t="s">
        <v>9</v>
      </c>
      <c r="B115" s="25" t="s">
        <v>10</v>
      </c>
      <c r="C115" s="26"/>
      <c r="D115" s="27"/>
      <c r="E115" s="78" t="s">
        <v>291</v>
      </c>
      <c r="F115" s="100" t="str">
        <f>Kap.01!F14</f>
        <v>k 31.12.2019</v>
      </c>
      <c r="G115" s="79">
        <f>Kap.01!G14</f>
        <v>43830</v>
      </c>
      <c r="H115" s="80"/>
      <c r="I115" s="81"/>
    </row>
    <row r="116" spans="1:9" ht="15" customHeight="1">
      <c r="A116" s="82" t="s">
        <v>334</v>
      </c>
      <c r="B116" s="96"/>
      <c r="C116" s="97"/>
      <c r="D116" s="138"/>
      <c r="E116" s="71"/>
      <c r="F116" s="99"/>
      <c r="G116" s="72"/>
      <c r="H116" s="72"/>
      <c r="I116" s="139"/>
    </row>
    <row r="117" spans="1:9" ht="15" customHeight="1">
      <c r="A117" s="581" t="s">
        <v>298</v>
      </c>
      <c r="B117" s="208" t="s">
        <v>299</v>
      </c>
      <c r="C117" s="208"/>
      <c r="D117" s="208"/>
      <c r="E117" s="682">
        <f>SUM(E118:E120)</f>
        <v>0</v>
      </c>
      <c r="F117" s="683">
        <f>SUM(F118:F120)</f>
        <v>2110</v>
      </c>
      <c r="G117" s="682">
        <f>SUM(G118:G120)</f>
        <v>2036</v>
      </c>
      <c r="H117" s="934" t="s">
        <v>557</v>
      </c>
      <c r="I117" s="210">
        <f t="shared" ref="I117:I120" si="15">G117/F117*100</f>
        <v>96.492890995260666</v>
      </c>
    </row>
    <row r="118" spans="1:9" ht="12.75" customHeight="1">
      <c r="A118" s="684"/>
      <c r="B118" s="685"/>
      <c r="C118" s="686" t="s">
        <v>542</v>
      </c>
      <c r="D118" s="614" t="s">
        <v>170</v>
      </c>
      <c r="E118" s="687">
        <v>0</v>
      </c>
      <c r="F118" s="688">
        <v>1380</v>
      </c>
      <c r="G118" s="689">
        <v>1332</v>
      </c>
      <c r="H118" s="935" t="s">
        <v>557</v>
      </c>
      <c r="I118" s="510">
        <f t="shared" si="15"/>
        <v>96.521739130434781</v>
      </c>
    </row>
    <row r="119" spans="1:9" ht="12.75" customHeight="1">
      <c r="A119" s="684"/>
      <c r="B119" s="685"/>
      <c r="C119" s="686" t="s">
        <v>543</v>
      </c>
      <c r="D119" s="614" t="s">
        <v>170</v>
      </c>
      <c r="E119" s="687">
        <v>0</v>
      </c>
      <c r="F119" s="688">
        <v>600</v>
      </c>
      <c r="G119" s="689">
        <v>575</v>
      </c>
      <c r="H119" s="935" t="s">
        <v>557</v>
      </c>
      <c r="I119" s="510">
        <f t="shared" si="15"/>
        <v>95.833333333333343</v>
      </c>
    </row>
    <row r="120" spans="1:9" ht="12.75" customHeight="1">
      <c r="A120" s="684"/>
      <c r="B120" s="685"/>
      <c r="C120" s="686" t="s">
        <v>492</v>
      </c>
      <c r="D120" s="614" t="s">
        <v>170</v>
      </c>
      <c r="E120" s="687">
        <v>0</v>
      </c>
      <c r="F120" s="688">
        <v>130</v>
      </c>
      <c r="G120" s="689">
        <v>129</v>
      </c>
      <c r="H120" s="935" t="s">
        <v>557</v>
      </c>
      <c r="I120" s="510">
        <f t="shared" si="15"/>
        <v>99.230769230769226</v>
      </c>
    </row>
    <row r="121" spans="1:9" ht="12.75" customHeight="1">
      <c r="A121" s="690"/>
      <c r="B121" s="691"/>
      <c r="C121" s="692"/>
      <c r="D121" s="613"/>
      <c r="E121" s="693"/>
      <c r="F121" s="694"/>
      <c r="G121" s="679"/>
      <c r="H121" s="695"/>
      <c r="I121" s="429"/>
    </row>
    <row r="122" spans="1:9" ht="15" customHeight="1">
      <c r="A122" s="581" t="s">
        <v>214</v>
      </c>
      <c r="B122" s="208" t="s">
        <v>148</v>
      </c>
      <c r="C122" s="208"/>
      <c r="D122" s="208"/>
      <c r="E122" s="682">
        <f>SUM(E123:E127)</f>
        <v>4583</v>
      </c>
      <c r="F122" s="683">
        <f>SUM(F123:F127)</f>
        <v>15439</v>
      </c>
      <c r="G122" s="682">
        <f>SUM(G123:G127)</f>
        <v>1317</v>
      </c>
      <c r="H122" s="209">
        <f t="shared" ref="H122:H124" si="16">G122/E122*100</f>
        <v>28.736635391664851</v>
      </c>
      <c r="I122" s="210">
        <f t="shared" ref="I122:I124" si="17">G122/F122*100</f>
        <v>8.5303452296133173</v>
      </c>
    </row>
    <row r="123" spans="1:9" ht="12.75" customHeight="1">
      <c r="A123" s="583"/>
      <c r="B123" s="376"/>
      <c r="C123" s="686" t="s">
        <v>407</v>
      </c>
      <c r="D123" s="613" t="s">
        <v>170</v>
      </c>
      <c r="E123" s="687">
        <v>2083</v>
      </c>
      <c r="F123" s="688">
        <v>2083</v>
      </c>
      <c r="G123" s="689">
        <v>688</v>
      </c>
      <c r="H123" s="500">
        <f t="shared" si="16"/>
        <v>33.029284685549683</v>
      </c>
      <c r="I123" s="510">
        <f t="shared" si="17"/>
        <v>33.029284685549683</v>
      </c>
    </row>
    <row r="124" spans="1:9" ht="12.75" customHeight="1">
      <c r="A124" s="583"/>
      <c r="B124" s="402"/>
      <c r="C124" s="686" t="s">
        <v>408</v>
      </c>
      <c r="D124" s="613" t="s">
        <v>170</v>
      </c>
      <c r="E124" s="687">
        <v>500</v>
      </c>
      <c r="F124" s="688">
        <v>500</v>
      </c>
      <c r="G124" s="689">
        <v>97</v>
      </c>
      <c r="H124" s="500">
        <f t="shared" si="16"/>
        <v>19.400000000000002</v>
      </c>
      <c r="I124" s="510">
        <f t="shared" si="17"/>
        <v>19.400000000000002</v>
      </c>
    </row>
    <row r="125" spans="1:9" ht="12.75" customHeight="1">
      <c r="A125" s="684"/>
      <c r="B125" s="685"/>
      <c r="C125" s="686" t="s">
        <v>409</v>
      </c>
      <c r="D125" s="613" t="s">
        <v>170</v>
      </c>
      <c r="E125" s="687">
        <v>500</v>
      </c>
      <c r="F125" s="688">
        <v>500</v>
      </c>
      <c r="G125" s="689">
        <v>0</v>
      </c>
      <c r="H125" s="500">
        <f t="shared" ref="H125:H128" si="18">G125/E125*100</f>
        <v>0</v>
      </c>
      <c r="I125" s="510">
        <f t="shared" ref="I125:I128" si="19">G125/F125*100</f>
        <v>0</v>
      </c>
    </row>
    <row r="126" spans="1:9" ht="12.75" customHeight="1">
      <c r="A126" s="684"/>
      <c r="B126" s="685"/>
      <c r="C126" s="686" t="s">
        <v>410</v>
      </c>
      <c r="D126" s="614" t="s">
        <v>170</v>
      </c>
      <c r="E126" s="687">
        <v>1500</v>
      </c>
      <c r="F126" s="688">
        <v>1500</v>
      </c>
      <c r="G126" s="689">
        <v>532</v>
      </c>
      <c r="H126" s="500">
        <f t="shared" ref="H126" si="20">G126/E126*100</f>
        <v>35.466666666666669</v>
      </c>
      <c r="I126" s="510">
        <f t="shared" ref="I126:I127" si="21">G126/F126*100</f>
        <v>35.466666666666669</v>
      </c>
    </row>
    <row r="127" spans="1:9" ht="12.75" customHeight="1" thickBot="1">
      <c r="A127" s="684"/>
      <c r="B127" s="685"/>
      <c r="C127" s="686" t="s">
        <v>486</v>
      </c>
      <c r="D127" s="614" t="s">
        <v>170</v>
      </c>
      <c r="E127" s="687">
        <v>0</v>
      </c>
      <c r="F127" s="688">
        <v>10856</v>
      </c>
      <c r="G127" s="689">
        <v>0</v>
      </c>
      <c r="H127" s="935" t="s">
        <v>557</v>
      </c>
      <c r="I127" s="510">
        <f t="shared" si="21"/>
        <v>0</v>
      </c>
    </row>
    <row r="128" spans="1:9" s="531" customFormat="1" ht="16.5" thickBot="1">
      <c r="A128" s="1008" t="s">
        <v>411</v>
      </c>
      <c r="B128" s="1009"/>
      <c r="C128" s="1010"/>
      <c r="D128" s="607"/>
      <c r="E128" s="608">
        <f>E122+E117</f>
        <v>4583</v>
      </c>
      <c r="F128" s="609">
        <f>F122+F117</f>
        <v>17549</v>
      </c>
      <c r="G128" s="608">
        <f>G122+G117</f>
        <v>3353</v>
      </c>
      <c r="H128" s="610">
        <f t="shared" si="18"/>
        <v>73.161684486144452</v>
      </c>
      <c r="I128" s="495">
        <f t="shared" si="19"/>
        <v>19.106501794974072</v>
      </c>
    </row>
    <row r="129" spans="1:9" ht="15.75" thickBot="1">
      <c r="F129" s="533"/>
    </row>
    <row r="130" spans="1:9" s="531" customFormat="1" ht="16.5" thickBot="1">
      <c r="A130" s="1008" t="s">
        <v>419</v>
      </c>
      <c r="B130" s="1009"/>
      <c r="C130" s="1010"/>
      <c r="D130" s="607"/>
      <c r="E130" s="608">
        <f>E109+E128</f>
        <v>341215</v>
      </c>
      <c r="F130" s="609">
        <f>F109+F128</f>
        <v>379331.70000000007</v>
      </c>
      <c r="G130" s="608">
        <f>G109+G128</f>
        <v>312432</v>
      </c>
      <c r="H130" s="610">
        <f t="shared" ref="H130" si="22">G130/E130*100</f>
        <v>91.564556071685004</v>
      </c>
      <c r="I130" s="495">
        <f t="shared" ref="I130" si="23">G130/F130*100</f>
        <v>82.363799281736789</v>
      </c>
    </row>
    <row r="132" spans="1:9">
      <c r="F132" s="650"/>
    </row>
    <row r="137" spans="1:9">
      <c r="E137" s="650"/>
    </row>
  </sheetData>
  <mergeCells count="13">
    <mergeCell ref="H19:H20"/>
    <mergeCell ref="I19:I20"/>
    <mergeCell ref="F19:F20"/>
    <mergeCell ref="B46:C46"/>
    <mergeCell ref="B105:C105"/>
    <mergeCell ref="E19:E20"/>
    <mergeCell ref="A128:C128"/>
    <mergeCell ref="A130:C130"/>
    <mergeCell ref="A109:C109"/>
    <mergeCell ref="B8:C8"/>
    <mergeCell ref="A19:A20"/>
    <mergeCell ref="B19:B20"/>
    <mergeCell ref="C19:C20"/>
  </mergeCells>
  <printOptions horizontalCentered="1"/>
  <pageMargins left="0.43307086614173229" right="0" top="0.11811023622047245" bottom="0" header="0" footer="0"/>
  <pageSetup paperSize="9" scale="78" fitToHeight="0" orientation="landscape" r:id="rId1"/>
  <rowBreaks count="2" manualBreakCount="2">
    <brk id="48" max="16383" man="1"/>
    <brk id="9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FA62A-D288-48A9-9202-7D6062748243}">
  <sheetPr>
    <pageSetUpPr fitToPage="1"/>
  </sheetPr>
  <dimension ref="A1:I26"/>
  <sheetViews>
    <sheetView zoomScaleNormal="100" workbookViewId="0">
      <selection activeCell="L22" sqref="L22"/>
    </sheetView>
  </sheetViews>
  <sheetFormatPr defaultRowHeight="15"/>
  <cols>
    <col min="1" max="2" width="11.28515625" style="17" customWidth="1"/>
    <col min="3" max="3" width="32.7109375" style="17" customWidth="1"/>
    <col min="4" max="4" width="50.85546875" style="17" customWidth="1"/>
    <col min="5" max="7" width="16.42578125" style="17" customWidth="1"/>
    <col min="8" max="8" width="11.42578125" style="17" customWidth="1"/>
    <col min="9" max="9" width="10.7109375" style="17" customWidth="1"/>
    <col min="10" max="16384" width="9.140625" style="17"/>
  </cols>
  <sheetData>
    <row r="1" spans="1:9" ht="18">
      <c r="A1" s="441"/>
      <c r="B1" s="441"/>
      <c r="C1" s="442"/>
      <c r="D1" s="441"/>
      <c r="E1" s="441"/>
    </row>
    <row r="2" spans="1:9" ht="15.75">
      <c r="A2" s="1029" t="s">
        <v>204</v>
      </c>
      <c r="B2" s="1030"/>
      <c r="C2" s="1030"/>
      <c r="D2" s="1030"/>
      <c r="E2" s="441"/>
    </row>
    <row r="3" spans="1:9" ht="15.75" thickBot="1">
      <c r="A3" s="441"/>
      <c r="B3" s="441"/>
      <c r="C3" s="441"/>
      <c r="D3" s="441"/>
      <c r="E3" s="651"/>
      <c r="I3" s="59" t="s">
        <v>507</v>
      </c>
    </row>
    <row r="4" spans="1:9">
      <c r="A4" s="60" t="s">
        <v>1</v>
      </c>
      <c r="B4" s="61" t="s">
        <v>2</v>
      </c>
      <c r="C4" s="62" t="s">
        <v>3</v>
      </c>
      <c r="D4" s="63"/>
      <c r="E4" s="64" t="s">
        <v>332</v>
      </c>
      <c r="F4" s="64" t="s">
        <v>320</v>
      </c>
      <c r="G4" s="65" t="s">
        <v>314</v>
      </c>
      <c r="H4" s="65" t="s">
        <v>333</v>
      </c>
      <c r="I4" s="66" t="s">
        <v>333</v>
      </c>
    </row>
    <row r="5" spans="1:9">
      <c r="A5" s="67" t="s">
        <v>5</v>
      </c>
      <c r="B5" s="68" t="s">
        <v>6</v>
      </c>
      <c r="C5" s="69" t="s">
        <v>7</v>
      </c>
      <c r="D5" s="70" t="s">
        <v>8</v>
      </c>
      <c r="E5" s="71" t="s">
        <v>319</v>
      </c>
      <c r="F5" s="71" t="s">
        <v>321</v>
      </c>
      <c r="G5" s="72" t="s">
        <v>315</v>
      </c>
      <c r="H5" s="72" t="s">
        <v>317</v>
      </c>
      <c r="I5" s="73" t="s">
        <v>318</v>
      </c>
    </row>
    <row r="6" spans="1:9" ht="15" customHeight="1" thickBot="1">
      <c r="A6" s="74" t="s">
        <v>9</v>
      </c>
      <c r="B6" s="75" t="s">
        <v>10</v>
      </c>
      <c r="C6" s="76"/>
      <c r="D6" s="77"/>
      <c r="E6" s="78" t="s">
        <v>291</v>
      </c>
      <c r="F6" s="78" t="str">
        <f>Kap.01!F14</f>
        <v>k 31.12.2019</v>
      </c>
      <c r="G6" s="79">
        <f>Kap.01!G14</f>
        <v>43830</v>
      </c>
      <c r="H6" s="80"/>
      <c r="I6" s="81"/>
    </row>
    <row r="7" spans="1:9" ht="15.75">
      <c r="A7" s="652" t="s">
        <v>205</v>
      </c>
      <c r="B7" s="653"/>
      <c r="C7" s="653"/>
      <c r="D7" s="653"/>
      <c r="E7" s="654"/>
      <c r="F7" s="655"/>
      <c r="G7" s="162"/>
      <c r="H7" s="162"/>
      <c r="I7" s="87"/>
    </row>
    <row r="8" spans="1:9">
      <c r="A8" s="228" t="s">
        <v>206</v>
      </c>
      <c r="B8" s="1031" t="s">
        <v>207</v>
      </c>
      <c r="C8" s="983"/>
      <c r="D8" s="656"/>
      <c r="E8" s="231">
        <f>SUM(E9:E16)</f>
        <v>250</v>
      </c>
      <c r="F8" s="232">
        <f>SUM(F9:F16)</f>
        <v>109050.1</v>
      </c>
      <c r="G8" s="231">
        <f t="shared" ref="G8" si="0">SUM(G9:G16)</f>
        <v>102897</v>
      </c>
      <c r="H8" s="611">
        <f t="shared" ref="H8" si="1">G8/E8*100</f>
        <v>41158.800000000003</v>
      </c>
      <c r="I8" s="264">
        <f t="shared" ref="I8" si="2">G8/F8*100</f>
        <v>94.357547585926099</v>
      </c>
    </row>
    <row r="9" spans="1:9" ht="15" customHeight="1">
      <c r="A9" s="289"/>
      <c r="B9" s="342"/>
      <c r="C9" s="449" t="s">
        <v>208</v>
      </c>
      <c r="D9" s="340" t="s">
        <v>222</v>
      </c>
      <c r="E9" s="657"/>
      <c r="F9" s="555"/>
      <c r="G9" s="234"/>
      <c r="H9" s="658"/>
      <c r="I9" s="659"/>
    </row>
    <row r="10" spans="1:9" s="519" customFormat="1">
      <c r="A10" s="351"/>
      <c r="B10" s="660"/>
      <c r="C10" s="661"/>
      <c r="D10" s="371" t="s">
        <v>108</v>
      </c>
      <c r="E10" s="341">
        <v>250</v>
      </c>
      <c r="F10" s="555">
        <v>250</v>
      </c>
      <c r="G10" s="234">
        <v>188</v>
      </c>
      <c r="H10" s="658">
        <f t="shared" ref="H10" si="3">G10/E10*100</f>
        <v>75.2</v>
      </c>
      <c r="I10" s="659">
        <f t="shared" ref="I10" si="4">G10/F10*100</f>
        <v>75.2</v>
      </c>
    </row>
    <row r="11" spans="1:9">
      <c r="A11" s="351"/>
      <c r="B11" s="342"/>
      <c r="C11" s="661" t="s">
        <v>428</v>
      </c>
      <c r="D11" s="371" t="s">
        <v>429</v>
      </c>
      <c r="E11" s="341"/>
      <c r="F11" s="555"/>
      <c r="G11" s="234"/>
      <c r="H11" s="662"/>
      <c r="I11" s="663"/>
    </row>
    <row r="12" spans="1:9" s="519" customFormat="1">
      <c r="A12" s="351"/>
      <c r="B12" s="660"/>
      <c r="C12" s="661"/>
      <c r="D12" s="371" t="s">
        <v>431</v>
      </c>
      <c r="E12" s="341">
        <v>0</v>
      </c>
      <c r="F12" s="555">
        <v>75842.3</v>
      </c>
      <c r="G12" s="234">
        <v>76095</v>
      </c>
      <c r="H12" s="939" t="s">
        <v>557</v>
      </c>
      <c r="I12" s="659">
        <f t="shared" ref="I12" si="5">G12/F12*100</f>
        <v>100.3331913720971</v>
      </c>
    </row>
    <row r="13" spans="1:9">
      <c r="A13" s="351"/>
      <c r="B13" s="660"/>
      <c r="C13" s="661"/>
      <c r="D13" s="371" t="s">
        <v>505</v>
      </c>
      <c r="E13" s="341"/>
      <c r="F13" s="555"/>
      <c r="G13" s="234"/>
      <c r="H13" s="658"/>
      <c r="I13" s="659"/>
    </row>
    <row r="14" spans="1:9" s="519" customFormat="1">
      <c r="A14" s="351"/>
      <c r="B14" s="660"/>
      <c r="C14" s="661"/>
      <c r="D14" s="371" t="s">
        <v>506</v>
      </c>
      <c r="E14" s="341">
        <v>0</v>
      </c>
      <c r="F14" s="555">
        <v>19596</v>
      </c>
      <c r="G14" s="234">
        <v>19596</v>
      </c>
      <c r="H14" s="919" t="s">
        <v>557</v>
      </c>
      <c r="I14" s="659">
        <f t="shared" ref="I14:I15" si="6">G14/F14*100</f>
        <v>100</v>
      </c>
    </row>
    <row r="15" spans="1:9">
      <c r="A15" s="351"/>
      <c r="B15" s="342"/>
      <c r="C15" s="661"/>
      <c r="D15" s="371" t="s">
        <v>432</v>
      </c>
      <c r="E15" s="341">
        <v>0</v>
      </c>
      <c r="F15" s="555">
        <v>13361.8</v>
      </c>
      <c r="G15" s="234">
        <v>0</v>
      </c>
      <c r="H15" s="939" t="s">
        <v>557</v>
      </c>
      <c r="I15" s="659">
        <f t="shared" si="6"/>
        <v>0</v>
      </c>
    </row>
    <row r="16" spans="1:9">
      <c r="A16" s="351"/>
      <c r="B16" s="660"/>
      <c r="C16" s="661" t="s">
        <v>430</v>
      </c>
      <c r="D16" s="371" t="s">
        <v>432</v>
      </c>
      <c r="E16" s="341">
        <v>0</v>
      </c>
      <c r="F16" s="555">
        <v>0</v>
      </c>
      <c r="G16" s="234">
        <v>7018</v>
      </c>
      <c r="H16" s="939" t="s">
        <v>557</v>
      </c>
      <c r="I16" s="659">
        <v>0</v>
      </c>
    </row>
    <row r="17" spans="1:9">
      <c r="A17" s="351"/>
      <c r="B17" s="342"/>
      <c r="C17" s="664"/>
      <c r="D17" s="665"/>
      <c r="E17" s="341"/>
      <c r="F17" s="555"/>
      <c r="G17" s="234"/>
      <c r="H17" s="666"/>
      <c r="I17" s="667"/>
    </row>
    <row r="18" spans="1:9">
      <c r="A18" s="309" t="s">
        <v>223</v>
      </c>
      <c r="B18" s="668" t="s">
        <v>218</v>
      </c>
      <c r="C18" s="669"/>
      <c r="D18" s="670"/>
      <c r="E18" s="231">
        <f>E20</f>
        <v>110</v>
      </c>
      <c r="F18" s="232">
        <f>F20</f>
        <v>115</v>
      </c>
      <c r="G18" s="231">
        <f>SUM(G20:G20)</f>
        <v>104</v>
      </c>
      <c r="H18" s="611">
        <f t="shared" ref="H18" si="7">G18/E18*100</f>
        <v>94.545454545454547</v>
      </c>
      <c r="I18" s="264">
        <f t="shared" ref="I18" si="8">G18/F18*100</f>
        <v>90.434782608695656</v>
      </c>
    </row>
    <row r="19" spans="1:9">
      <c r="A19" s="309"/>
      <c r="B19" s="671"/>
      <c r="C19" s="668" t="s">
        <v>224</v>
      </c>
      <c r="D19" s="670"/>
      <c r="E19" s="341"/>
      <c r="F19" s="555"/>
      <c r="G19" s="234"/>
      <c r="H19" s="662"/>
      <c r="I19" s="663"/>
    </row>
    <row r="20" spans="1:9" ht="15.75" thickBot="1">
      <c r="A20" s="289"/>
      <c r="B20" s="672"/>
      <c r="C20" s="449" t="s">
        <v>209</v>
      </c>
      <c r="D20" s="340" t="s">
        <v>210</v>
      </c>
      <c r="E20" s="341">
        <v>110</v>
      </c>
      <c r="F20" s="555">
        <v>115</v>
      </c>
      <c r="G20" s="234">
        <v>104</v>
      </c>
      <c r="H20" s="658">
        <f t="shared" ref="H20" si="9">G20/E20*100</f>
        <v>94.545454545454547</v>
      </c>
      <c r="I20" s="659">
        <f t="shared" ref="I20" si="10">G20/F20*100</f>
        <v>90.434782608695656</v>
      </c>
    </row>
    <row r="21" spans="1:9" s="102" customFormat="1" ht="16.5" thickBot="1">
      <c r="A21" s="1014" t="s">
        <v>16</v>
      </c>
      <c r="B21" s="1015"/>
      <c r="C21" s="1016"/>
      <c r="D21" s="347"/>
      <c r="E21" s="436">
        <f>E8+E18</f>
        <v>360</v>
      </c>
      <c r="F21" s="437">
        <f>F8+F18</f>
        <v>109165.1</v>
      </c>
      <c r="G21" s="436">
        <f>G8+G18</f>
        <v>103001</v>
      </c>
      <c r="H21" s="410">
        <f t="shared" ref="H21" si="11">G21/E21*100</f>
        <v>28611.388888888887</v>
      </c>
      <c r="I21" s="673">
        <f t="shared" ref="I21" si="12">G21/F21*100</f>
        <v>94.353415148247919</v>
      </c>
    </row>
    <row r="22" spans="1:9" ht="15.75" thickBot="1">
      <c r="F22" s="191"/>
      <c r="H22" s="56"/>
      <c r="I22" s="56"/>
    </row>
    <row r="23" spans="1:9" s="102" customFormat="1" ht="15" customHeight="1" thickBot="1">
      <c r="A23" s="1014" t="s">
        <v>426</v>
      </c>
      <c r="B23" s="1015"/>
      <c r="C23" s="1016"/>
      <c r="D23" s="347"/>
      <c r="E23" s="436">
        <f>E21</f>
        <v>360</v>
      </c>
      <c r="F23" s="437">
        <f t="shared" ref="F23:G23" si="13">F21</f>
        <v>109165.1</v>
      </c>
      <c r="G23" s="436">
        <f t="shared" si="13"/>
        <v>103001</v>
      </c>
      <c r="H23" s="410">
        <f t="shared" ref="H23" si="14">G23/E23*100</f>
        <v>28611.388888888887</v>
      </c>
      <c r="I23" s="673">
        <f t="shared" ref="I23" si="15">G23/F23*100</f>
        <v>94.353415148247919</v>
      </c>
    </row>
    <row r="24" spans="1:9">
      <c r="E24" s="191"/>
      <c r="F24" s="674"/>
      <c r="G24" s="675"/>
    </row>
    <row r="25" spans="1:9">
      <c r="F25" s="54"/>
      <c r="G25" s="55"/>
    </row>
    <row r="26" spans="1:9">
      <c r="E26" s="55"/>
      <c r="F26" s="54"/>
      <c r="G26" s="54"/>
    </row>
  </sheetData>
  <mergeCells count="4">
    <mergeCell ref="A2:D2"/>
    <mergeCell ref="B8:C8"/>
    <mergeCell ref="A21:C21"/>
    <mergeCell ref="A23:C23"/>
  </mergeCells>
  <printOptions horizontalCentered="1"/>
  <pageMargins left="0.43307086614173229" right="0" top="0.11811023622047245" bottom="0" header="0" footer="0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7</vt:i4>
      </vt:variant>
    </vt:vector>
  </HeadingPairs>
  <TitlesOfParts>
    <vt:vector size="17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  <vt:lpstr>'Kap. 04'!Oblast_tisku</vt:lpstr>
      <vt:lpstr>'Kap. 05'!Oblast_tisku</vt:lpstr>
      <vt:lpstr>'Kap. 06'!Oblast_tisku</vt:lpstr>
      <vt:lpstr>'Kap. 07'!Oblast_tisku</vt:lpstr>
      <vt:lpstr>'Kap. 08'!Oblast_tisku</vt:lpstr>
      <vt:lpstr>'Kap. 09'!Oblast_tisku</vt:lpstr>
      <vt:lpstr>'Kap. 10'!Oblast_tisku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Přibylová Jana (P8)</cp:lastModifiedBy>
  <cp:lastPrinted>2020-05-28T09:40:17Z</cp:lastPrinted>
  <dcterms:created xsi:type="dcterms:W3CDTF">2014-06-06T09:29:24Z</dcterms:created>
  <dcterms:modified xsi:type="dcterms:W3CDTF">2020-05-28T09:40:25Z</dcterms:modified>
</cp:coreProperties>
</file>